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HYDRO\PROJECTS\Montgomery\2025\B - Post Const\01 - Forms\2024-10-01 P\"/>
    </mc:Choice>
  </mc:AlternateContent>
  <xr:revisionPtr revIDLastSave="0" documentId="13_ncr:1_{6F57B292-190A-4E8A-8BE3-5BFF6B24A26B}" xr6:coauthVersionLast="47" xr6:coauthVersionMax="47" xr10:uidLastSave="{00000000-0000-0000-0000-000000000000}"/>
  <workbookProtection workbookAlgorithmName="SHA-512" workbookHashValue="UrAB3Uvo2w8gg4OXftYXn05S72VrTtqSirY+OdfvD/adGbND+Dgf5DwAcj7g2gD1xh0ZHDU1XQ3nm9DnSo2jSA==" workbookSaltValue="oljP3VEL1XuwcG5yusKBZA==" workbookSpinCount="100000" lockStructure="1"/>
  <bookViews>
    <workbookView xWindow="13935" yWindow="-16320" windowWidth="29040" windowHeight="15840" firstSheet="1" activeTab="1" xr2:uid="{994EC860-6224-46C4-B304-9868EEFCD4CE}"/>
  </bookViews>
  <sheets>
    <sheet name="Tables" sheetId="2" state="veryHidden" r:id="rId1"/>
    <sheet name="Instructions" sheetId="4" r:id="rId2"/>
    <sheet name="Form 2D - Design" sheetId="5" r:id="rId3"/>
    <sheet name="Form 2D.2 - Design Attachment" sheetId="8" r:id="rId4"/>
    <sheet name="Form 3D - As-built" sheetId="6" r:id="rId5"/>
  </sheets>
  <definedNames>
    <definedName name="Logo">INDEX(Tables!$C$36:$C$40,MATCH(Tables!$C$14,Tables!$B$36:$B$40,0))</definedName>
    <definedName name="Material">Tables!$A$2:$A$10</definedName>
    <definedName name="_xlnm.Print_Area" localSheetId="2">'Form 2D - Design'!$A$1:$AK$212</definedName>
    <definedName name="_xlnm.Print_Area" localSheetId="3">'Form 2D.2 - Design Attachment'!$A$1:$AK$114</definedName>
    <definedName name="_xlnm.Print_Area" localSheetId="4">'Form 3D - As-built'!$A$1:$AL$248</definedName>
    <definedName name="_xlnm.Print_Titles" localSheetId="2">'Form 2D - Design'!$1:$4</definedName>
    <definedName name="_xlnm.Print_Titles" localSheetId="3">'Form 2D.2 - Design Attachment'!$1:$4</definedName>
    <definedName name="_xlnm.Print_Titles" localSheetId="4">'Form 3D - As-built'!$1:$4</definedName>
    <definedName name="Shape">Tables!$C$2:$C$10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89" i="5" l="1"/>
  <c r="AO189" i="5"/>
  <c r="AN189" i="5"/>
  <c r="AM189" i="5"/>
  <c r="AL189" i="5"/>
  <c r="AP187" i="5"/>
  <c r="AO187" i="5"/>
  <c r="AN187" i="5"/>
  <c r="AM187" i="5"/>
  <c r="AL187" i="5"/>
  <c r="AP185" i="5"/>
  <c r="AO185" i="5"/>
  <c r="AN185" i="5"/>
  <c r="AM185" i="5"/>
  <c r="AL185" i="5"/>
  <c r="AP183" i="5"/>
  <c r="AO183" i="5"/>
  <c r="AN183" i="5"/>
  <c r="AM183" i="5"/>
  <c r="AL183" i="5"/>
  <c r="AP181" i="5"/>
  <c r="AO181" i="5"/>
  <c r="AN181" i="5"/>
  <c r="AM181" i="5"/>
  <c r="AL181" i="5"/>
  <c r="AP179" i="5"/>
  <c r="AO179" i="5"/>
  <c r="AN179" i="5"/>
  <c r="AM179" i="5"/>
  <c r="AL179" i="5"/>
  <c r="AP177" i="5"/>
  <c r="AO177" i="5"/>
  <c r="AN177" i="5"/>
  <c r="AM177" i="5"/>
  <c r="AL177" i="5"/>
  <c r="AP175" i="5"/>
  <c r="AO175" i="5"/>
  <c r="AN175" i="5"/>
  <c r="AM175" i="5"/>
  <c r="AL175" i="5"/>
  <c r="AP173" i="5"/>
  <c r="AO173" i="5"/>
  <c r="AN173" i="5"/>
  <c r="AM173" i="5"/>
  <c r="AL173" i="5"/>
  <c r="AP171" i="5"/>
  <c r="AO171" i="5"/>
  <c r="AN171" i="5"/>
  <c r="AM171" i="5"/>
  <c r="AL171" i="5"/>
  <c r="AQ147" i="5"/>
  <c r="AQ146" i="5"/>
  <c r="AQ145" i="5"/>
  <c r="AQ144" i="5"/>
  <c r="AQ143" i="5"/>
  <c r="AQ142" i="5"/>
  <c r="C32" i="2"/>
  <c r="AP155" i="5" s="1"/>
  <c r="AQ155" i="5" s="1"/>
  <c r="C31" i="2"/>
  <c r="AO155" i="5" s="1"/>
  <c r="C30" i="2"/>
  <c r="AP153" i="5" s="1"/>
  <c r="AQ153" i="5" s="1"/>
  <c r="H2" i="2"/>
  <c r="H3" i="2" s="1"/>
  <c r="H4" i="2" s="1"/>
  <c r="H5" i="2" s="1"/>
  <c r="H6" i="2" s="1"/>
  <c r="H7" i="2" s="1"/>
  <c r="H8" i="2" s="1"/>
  <c r="H9" i="2" s="1"/>
  <c r="H10" i="2" s="1"/>
  <c r="H11" i="2" s="1"/>
  <c r="H12" i="2" s="1"/>
  <c r="H13" i="2" s="1"/>
  <c r="H14" i="2" s="1"/>
  <c r="H15" i="2" s="1"/>
  <c r="H16" i="2" s="1"/>
  <c r="H17" i="2" s="1"/>
  <c r="H18" i="2" s="1"/>
  <c r="H19" i="2" s="1"/>
  <c r="H20" i="2" s="1"/>
  <c r="K32" i="8"/>
  <c r="Y65" i="8"/>
  <c r="R65" i="8"/>
  <c r="AB64" i="8"/>
  <c r="Y64" i="8"/>
  <c r="AB62" i="8"/>
  <c r="AB60" i="8"/>
  <c r="AB58" i="8"/>
  <c r="AB56" i="8"/>
  <c r="AB54" i="8"/>
  <c r="AB52" i="8"/>
  <c r="AB50" i="8"/>
  <c r="AB48" i="8"/>
  <c r="AB46" i="8"/>
  <c r="AB44" i="8"/>
  <c r="AB42" i="8"/>
  <c r="AB40" i="8"/>
  <c r="AB38" i="8"/>
  <c r="AB36" i="8"/>
  <c r="AB34" i="8"/>
  <c r="C29" i="2"/>
  <c r="AP189" i="6"/>
  <c r="AP187" i="6"/>
  <c r="AP185" i="6"/>
  <c r="AP183" i="6"/>
  <c r="AP181" i="6"/>
  <c r="AP179" i="6"/>
  <c r="AP177" i="6"/>
  <c r="AP175" i="6"/>
  <c r="AP173" i="6"/>
  <c r="AP171" i="6" l="1"/>
  <c r="AQ189" i="5"/>
  <c r="AQ181" i="5"/>
  <c r="AQ173" i="5"/>
  <c r="AQ177" i="5"/>
  <c r="AQ187" i="5"/>
  <c r="AQ171" i="5"/>
  <c r="AQ179" i="5"/>
  <c r="AQ185" i="5"/>
  <c r="AQ175" i="5"/>
  <c r="AQ118" i="6"/>
  <c r="Y155" i="5"/>
  <c r="G18" i="2"/>
  <c r="G19" i="2"/>
  <c r="L210" i="5" s="1"/>
  <c r="AQ183" i="5"/>
  <c r="AO153" i="5"/>
  <c r="L209" i="5" s="1"/>
  <c r="AL209" i="5" s="1"/>
  <c r="AG204" i="6"/>
  <c r="B202" i="6"/>
  <c r="AO189" i="6"/>
  <c r="AN189" i="6"/>
  <c r="AM189" i="6"/>
  <c r="AO187" i="6"/>
  <c r="AN187" i="6"/>
  <c r="AM187" i="6"/>
  <c r="AO185" i="6"/>
  <c r="AN185" i="6"/>
  <c r="AM185" i="6"/>
  <c r="AO183" i="6"/>
  <c r="AN183" i="6"/>
  <c r="AM183" i="6"/>
  <c r="AO181" i="6"/>
  <c r="AN181" i="6"/>
  <c r="AM181" i="6"/>
  <c r="AO179" i="6"/>
  <c r="AN179" i="6"/>
  <c r="AM179" i="6"/>
  <c r="AO177" i="6"/>
  <c r="AN177" i="6"/>
  <c r="AM177" i="6"/>
  <c r="AO175" i="6"/>
  <c r="AN175" i="6"/>
  <c r="AM175" i="6"/>
  <c r="AO173" i="6"/>
  <c r="AN173" i="6"/>
  <c r="AM173" i="6"/>
  <c r="AP120" i="6" l="1"/>
  <c r="AQ117" i="6"/>
  <c r="Y153" i="5"/>
  <c r="AM171" i="6"/>
  <c r="L216" i="6" s="1"/>
  <c r="AM216" i="6" s="1"/>
  <c r="AM157" i="5"/>
  <c r="AF6" i="6" l="1"/>
  <c r="AL210" i="5"/>
  <c r="AM155" i="5"/>
  <c r="AN155" i="5" s="1"/>
  <c r="AL155" i="5"/>
  <c r="AL48" i="5"/>
  <c r="AL35" i="5"/>
  <c r="AM128" i="5"/>
  <c r="AL125" i="5"/>
  <c r="AL126" i="5"/>
  <c r="B114" i="8"/>
  <c r="B66" i="8"/>
  <c r="AE68" i="8"/>
  <c r="D68" i="8"/>
  <c r="R64" i="8"/>
  <c r="K64" i="8"/>
  <c r="AQ62" i="8"/>
  <c r="AP62" i="8"/>
  <c r="AN62" i="8"/>
  <c r="AQ60" i="8"/>
  <c r="AP60" i="8"/>
  <c r="AN60" i="8"/>
  <c r="AQ58" i="8"/>
  <c r="AP58" i="8"/>
  <c r="AN58" i="8"/>
  <c r="AQ56" i="8"/>
  <c r="AP56" i="8"/>
  <c r="AN56" i="8"/>
  <c r="AQ54" i="8"/>
  <c r="AP54" i="8"/>
  <c r="AN54" i="8"/>
  <c r="AQ52" i="8"/>
  <c r="AP52" i="8"/>
  <c r="AN52" i="8"/>
  <c r="AQ50" i="8"/>
  <c r="AP50" i="8"/>
  <c r="AN50" i="8"/>
  <c r="AQ48" i="8"/>
  <c r="AP48" i="8"/>
  <c r="AN48" i="8"/>
  <c r="AQ46" i="8"/>
  <c r="AP46" i="8"/>
  <c r="AN46" i="8"/>
  <c r="AQ44" i="8"/>
  <c r="AP44" i="8"/>
  <c r="AN44" i="8"/>
  <c r="AQ42" i="8"/>
  <c r="AP42" i="8"/>
  <c r="AN42" i="8"/>
  <c r="AQ40" i="8"/>
  <c r="AP40" i="8"/>
  <c r="AN40" i="8"/>
  <c r="AQ38" i="8"/>
  <c r="AP38" i="8"/>
  <c r="AN38" i="8"/>
  <c r="AQ36" i="8"/>
  <c r="AP36" i="8"/>
  <c r="AN36" i="8"/>
  <c r="C36" i="8"/>
  <c r="AM36" i="8" s="1"/>
  <c r="AQ34" i="8"/>
  <c r="AP34" i="8"/>
  <c r="AN34" i="8"/>
  <c r="AM34" i="8"/>
  <c r="AP30" i="8"/>
  <c r="AO30" i="8"/>
  <c r="AN30" i="8"/>
  <c r="AM30" i="8"/>
  <c r="AP28" i="8"/>
  <c r="AO28" i="8"/>
  <c r="AN28" i="8"/>
  <c r="AM28" i="8"/>
  <c r="AP26" i="8"/>
  <c r="AO26" i="8"/>
  <c r="AN26" i="8"/>
  <c r="AM26" i="8"/>
  <c r="AN22" i="8"/>
  <c r="AM22" i="8"/>
  <c r="AO22" i="8" s="1"/>
  <c r="AP20" i="8"/>
  <c r="AO20" i="8"/>
  <c r="AN20" i="8"/>
  <c r="AM20" i="8"/>
  <c r="AP18" i="8"/>
  <c r="AO18" i="8"/>
  <c r="AN18" i="8"/>
  <c r="AM18" i="8"/>
  <c r="BD1" i="8"/>
  <c r="AR118" i="6" l="1"/>
  <c r="AP121" i="5"/>
  <c r="AP125" i="5"/>
  <c r="AP126" i="5"/>
  <c r="AP122" i="5"/>
  <c r="AP123" i="5"/>
  <c r="AP124" i="5"/>
  <c r="AP118" i="6"/>
  <c r="AQ18" i="8"/>
  <c r="N44" i="8" s="1"/>
  <c r="C38" i="8"/>
  <c r="AM38" i="8" s="1"/>
  <c r="AM71" i="8"/>
  <c r="F33" i="8"/>
  <c r="AN33" i="8" s="1"/>
  <c r="B33" i="8"/>
  <c r="AM33" i="8" s="1"/>
  <c r="N50" i="8"/>
  <c r="U44" i="8"/>
  <c r="N38" i="8"/>
  <c r="U62" i="8"/>
  <c r="U50" i="8"/>
  <c r="U38" i="8"/>
  <c r="N62" i="8"/>
  <c r="N56" i="8"/>
  <c r="U52" i="8"/>
  <c r="U46" i="8"/>
  <c r="U40" i="8"/>
  <c r="U34" i="8"/>
  <c r="N58" i="8"/>
  <c r="N52" i="8"/>
  <c r="N46" i="8"/>
  <c r="N40" i="8"/>
  <c r="U48" i="8"/>
  <c r="U42" i="8"/>
  <c r="U36" i="8"/>
  <c r="N60" i="8"/>
  <c r="N48" i="8"/>
  <c r="N36" i="8"/>
  <c r="C40" i="8"/>
  <c r="AM167" i="5"/>
  <c r="AL167" i="5"/>
  <c r="AM165" i="5"/>
  <c r="AL165" i="5"/>
  <c r="AL157" i="5"/>
  <c r="AM153" i="5"/>
  <c r="AN153" i="5" s="1"/>
  <c r="AL153" i="5"/>
  <c r="AO56" i="5"/>
  <c r="AN56" i="5"/>
  <c r="AM56" i="5"/>
  <c r="AL56" i="5"/>
  <c r="AL42" i="5"/>
  <c r="AL29" i="5"/>
  <c r="AS128" i="6"/>
  <c r="AS123" i="6"/>
  <c r="AQ126" i="5"/>
  <c r="AQ121" i="5"/>
  <c r="G128" i="6"/>
  <c r="G127" i="6"/>
  <c r="G126" i="6"/>
  <c r="G125" i="6"/>
  <c r="G124" i="6"/>
  <c r="G123" i="6"/>
  <c r="G121" i="6"/>
  <c r="G120" i="6"/>
  <c r="G119" i="6"/>
  <c r="G118" i="6"/>
  <c r="G117" i="6"/>
  <c r="G116" i="6"/>
  <c r="K126" i="5"/>
  <c r="K125" i="5"/>
  <c r="K124" i="5"/>
  <c r="K123" i="5"/>
  <c r="K122" i="5"/>
  <c r="K121" i="5"/>
  <c r="J53" i="5"/>
  <c r="J52" i="5"/>
  <c r="J51" i="5"/>
  <c r="J50" i="5"/>
  <c r="J49" i="5"/>
  <c r="J48" i="5"/>
  <c r="J40" i="5"/>
  <c r="J39" i="5"/>
  <c r="J38" i="5"/>
  <c r="J37" i="5"/>
  <c r="J36" i="5"/>
  <c r="J35" i="5"/>
  <c r="C28" i="2"/>
  <c r="AT20" i="5" s="1"/>
  <c r="C27" i="2"/>
  <c r="C26" i="2"/>
  <c r="C25" i="2"/>
  <c r="C24" i="2"/>
  <c r="C23" i="2"/>
  <c r="C22" i="2"/>
  <c r="C21" i="2"/>
  <c r="C128" i="6" s="1"/>
  <c r="C20" i="2"/>
  <c r="C127" i="6" s="1"/>
  <c r="B212" i="5"/>
  <c r="B247" i="6"/>
  <c r="AQ123" i="5"/>
  <c r="AQ124" i="5"/>
  <c r="AQ125" i="5"/>
  <c r="AQ122" i="5"/>
  <c r="AO91" i="5"/>
  <c r="AO93" i="5"/>
  <c r="AP69" i="6"/>
  <c r="AP120" i="5" l="1"/>
  <c r="AR123" i="6"/>
  <c r="AR124" i="6"/>
  <c r="AR125" i="6"/>
  <c r="AR126" i="6"/>
  <c r="AR127" i="6"/>
  <c r="AR128" i="6"/>
  <c r="AR117" i="6"/>
  <c r="AO121" i="5"/>
  <c r="AO117" i="6"/>
  <c r="AO118" i="6"/>
  <c r="AO119" i="6"/>
  <c r="AO120" i="6"/>
  <c r="AO121" i="6"/>
  <c r="AO116" i="6"/>
  <c r="AP117" i="6"/>
  <c r="N54" i="8"/>
  <c r="N64" i="8"/>
  <c r="U56" i="8"/>
  <c r="U60" i="8"/>
  <c r="U64" i="8"/>
  <c r="U54" i="8"/>
  <c r="U58" i="8"/>
  <c r="N42" i="8"/>
  <c r="N34" i="8"/>
  <c r="L195" i="5"/>
  <c r="AL195" i="5" s="1"/>
  <c r="AM40" i="8"/>
  <c r="C42" i="8"/>
  <c r="AN167" i="5"/>
  <c r="AQ120" i="5"/>
  <c r="L208" i="5" s="1"/>
  <c r="AL208" i="5" s="1"/>
  <c r="F39" i="5"/>
  <c r="F53" i="5"/>
  <c r="G125" i="5"/>
  <c r="C120" i="6"/>
  <c r="G126" i="5"/>
  <c r="C121" i="6"/>
  <c r="F52" i="5"/>
  <c r="AS125" i="6"/>
  <c r="AS126" i="6"/>
  <c r="AS127" i="6"/>
  <c r="AS124" i="6"/>
  <c r="AO124" i="6"/>
  <c r="AO125" i="6"/>
  <c r="AO126" i="6"/>
  <c r="AO127" i="6"/>
  <c r="AO123" i="6"/>
  <c r="AO128" i="6"/>
  <c r="AR122" i="6" l="1"/>
  <c r="AN117" i="6"/>
  <c r="AN118" i="6"/>
  <c r="AN119" i="6"/>
  <c r="AN120" i="6"/>
  <c r="AN121" i="6"/>
  <c r="AN116" i="6"/>
  <c r="AQ127" i="6"/>
  <c r="AQ128" i="6"/>
  <c r="AQ123" i="6"/>
  <c r="AQ124" i="6"/>
  <c r="AQ125" i="6"/>
  <c r="AQ126" i="6"/>
  <c r="AO126" i="5"/>
  <c r="AP119" i="6"/>
  <c r="AO122" i="5"/>
  <c r="AO123" i="5"/>
  <c r="AO124" i="5"/>
  <c r="AO125" i="5"/>
  <c r="C44" i="8"/>
  <c r="AM42" i="8"/>
  <c r="L196" i="6"/>
  <c r="L195" i="6"/>
  <c r="AP73" i="6"/>
  <c r="AP72" i="6"/>
  <c r="AN72" i="6"/>
  <c r="AO120" i="5" l="1"/>
  <c r="AM44" i="8"/>
  <c r="C46" i="8"/>
  <c r="AN126" i="5"/>
  <c r="AN122" i="5"/>
  <c r="AN123" i="5"/>
  <c r="AN124" i="5"/>
  <c r="AN125" i="5"/>
  <c r="AN121" i="5"/>
  <c r="AL122" i="5"/>
  <c r="AL123" i="5"/>
  <c r="AL124" i="5"/>
  <c r="AL121" i="5"/>
  <c r="AQ122" i="6" l="1"/>
  <c r="AL120" i="5"/>
  <c r="AM46" i="8"/>
  <c r="C48" i="8"/>
  <c r="AO97" i="5"/>
  <c r="AM97" i="5"/>
  <c r="L214" i="6" l="1"/>
  <c r="AM214" i="6" s="1"/>
  <c r="L215" i="6"/>
  <c r="AM215" i="6" s="1"/>
  <c r="C50" i="8"/>
  <c r="AM48" i="8"/>
  <c r="L200" i="5"/>
  <c r="L199" i="5"/>
  <c r="L198" i="5"/>
  <c r="L197" i="5"/>
  <c r="AL53" i="5"/>
  <c r="AL52" i="5"/>
  <c r="AL51" i="5"/>
  <c r="AL50" i="5"/>
  <c r="AL49" i="5"/>
  <c r="AL40" i="5"/>
  <c r="AL39" i="5"/>
  <c r="AL38" i="5"/>
  <c r="AL37" i="5"/>
  <c r="AL36" i="5"/>
  <c r="C19" i="2"/>
  <c r="C18" i="2"/>
  <c r="C17" i="2"/>
  <c r="C16" i="2"/>
  <c r="C15" i="2"/>
  <c r="G16" i="2"/>
  <c r="C52" i="8" l="1"/>
  <c r="AM50" i="8"/>
  <c r="F36" i="5"/>
  <c r="C124" i="6"/>
  <c r="F49" i="5"/>
  <c r="C117" i="6"/>
  <c r="G122" i="5"/>
  <c r="C125" i="6"/>
  <c r="F50" i="5"/>
  <c r="F37" i="5"/>
  <c r="C118" i="6"/>
  <c r="G123" i="5"/>
  <c r="F38" i="5"/>
  <c r="F51" i="5"/>
  <c r="C126" i="6"/>
  <c r="C119" i="6"/>
  <c r="G124" i="5"/>
  <c r="F35" i="5"/>
  <c r="C123" i="6"/>
  <c r="F48" i="5"/>
  <c r="C116" i="6"/>
  <c r="G121" i="5"/>
  <c r="AP114" i="6"/>
  <c r="G6" i="2"/>
  <c r="AM129" i="5"/>
  <c r="AE14" i="6"/>
  <c r="AM14" i="6" s="1"/>
  <c r="AL47" i="5"/>
  <c r="AL34" i="5"/>
  <c r="AM52" i="8" l="1"/>
  <c r="C54" i="8"/>
  <c r="AM121" i="5"/>
  <c r="AM123" i="5"/>
  <c r="AM122" i="5"/>
  <c r="AM126" i="5"/>
  <c r="AM124" i="5"/>
  <c r="AM125" i="5"/>
  <c r="AP124" i="6"/>
  <c r="AP126" i="6"/>
  <c r="AP125" i="6"/>
  <c r="AP127" i="6"/>
  <c r="AP123" i="6"/>
  <c r="AP128" i="6"/>
  <c r="L193" i="6"/>
  <c r="AM208" i="6"/>
  <c r="AM194" i="6"/>
  <c r="AL196" i="5"/>
  <c r="AL204" i="5"/>
  <c r="C56" i="8" l="1"/>
  <c r="AM54" i="8"/>
  <c r="C58" i="8" l="1"/>
  <c r="AM56" i="8"/>
  <c r="AO102" i="5"/>
  <c r="AN102" i="5"/>
  <c r="AE162" i="5"/>
  <c r="AE161" i="5"/>
  <c r="D161" i="5"/>
  <c r="AX35" i="6"/>
  <c r="D15" i="2"/>
  <c r="AA26" i="5" s="1"/>
  <c r="AM147" i="6"/>
  <c r="AS71" i="6"/>
  <c r="AN71" i="6"/>
  <c r="AP74" i="6"/>
  <c r="AN74" i="6"/>
  <c r="AM58" i="8" l="1"/>
  <c r="C60" i="8"/>
  <c r="AT16" i="5"/>
  <c r="D137" i="5"/>
  <c r="AA18" i="6"/>
  <c r="AV45" i="6"/>
  <c r="AM86" i="6"/>
  <c r="AM196" i="6"/>
  <c r="AM195" i="6"/>
  <c r="AL199" i="5"/>
  <c r="AL200" i="5"/>
  <c r="AL198" i="5"/>
  <c r="AL197" i="5"/>
  <c r="AL82" i="5"/>
  <c r="AL86" i="5"/>
  <c r="AM60" i="8" l="1"/>
  <c r="C62" i="8"/>
  <c r="AM62" i="8" s="1"/>
  <c r="B153" i="6"/>
  <c r="B109" i="6"/>
  <c r="B61" i="6"/>
  <c r="B160" i="5"/>
  <c r="B114" i="5"/>
  <c r="B58" i="5"/>
  <c r="I71" i="6" l="1"/>
  <c r="F71" i="6"/>
  <c r="AM71" i="6"/>
  <c r="O67" i="6"/>
  <c r="O66" i="6"/>
  <c r="J67" i="6"/>
  <c r="J66" i="6"/>
  <c r="O57" i="6"/>
  <c r="O56" i="6"/>
  <c r="O55" i="6"/>
  <c r="F57" i="6"/>
  <c r="F56" i="6"/>
  <c r="F55" i="6"/>
  <c r="O52" i="6"/>
  <c r="O49" i="6"/>
  <c r="F52" i="6"/>
  <c r="F51" i="6"/>
  <c r="F50" i="6"/>
  <c r="F49" i="6"/>
  <c r="O51" i="6"/>
  <c r="Q47" i="6"/>
  <c r="N47" i="6"/>
  <c r="K45" i="6"/>
  <c r="O43" i="6"/>
  <c r="O42" i="6"/>
  <c r="F42" i="6"/>
  <c r="K40" i="6"/>
  <c r="N23" i="6"/>
  <c r="Q25" i="6"/>
  <c r="N25" i="6"/>
  <c r="N22" i="6"/>
  <c r="AM57" i="6"/>
  <c r="AM56" i="6"/>
  <c r="AM51" i="6"/>
  <c r="AM50" i="6"/>
  <c r="AM47" i="6"/>
  <c r="AM49" i="6"/>
  <c r="AM45" i="6"/>
  <c r="AM42" i="6"/>
  <c r="AM35" i="6"/>
  <c r="AM25" i="6"/>
  <c r="AM89" i="5"/>
  <c r="AL89" i="5"/>
  <c r="AM84" i="5"/>
  <c r="AL84" i="5"/>
  <c r="AL79" i="5"/>
  <c r="AL75" i="5"/>
  <c r="AM59" i="5" l="1"/>
  <c r="AM34" i="6"/>
  <c r="AN27" i="6"/>
  <c r="AM27" i="6"/>
  <c r="AM40" i="6"/>
  <c r="N38" i="6"/>
  <c r="I38" i="6"/>
  <c r="N37" i="6"/>
  <c r="I37" i="6"/>
  <c r="F35" i="6"/>
  <c r="K34" i="6"/>
  <c r="N31" i="6"/>
  <c r="N32" i="6"/>
  <c r="N30" i="6"/>
  <c r="I31" i="6"/>
  <c r="I32" i="6"/>
  <c r="I30" i="6"/>
  <c r="N27" i="6"/>
  <c r="I27" i="6"/>
  <c r="F27" i="6"/>
  <c r="AO95" i="5"/>
  <c r="AM79" i="5" l="1"/>
  <c r="AM75" i="5"/>
  <c r="AM68" i="5"/>
  <c r="AL68" i="5"/>
  <c r="AL64" i="5"/>
  <c r="AL62" i="5"/>
  <c r="B6" i="4" l="1"/>
  <c r="B34" i="4" s="1"/>
  <c r="B35" i="4" s="1"/>
  <c r="J27" i="5"/>
  <c r="AL23" i="5" s="1"/>
  <c r="W23" i="5" s="1"/>
  <c r="P30" i="5"/>
  <c r="L30" i="5"/>
  <c r="W27" i="5" l="1"/>
  <c r="W26" i="5"/>
  <c r="BK1" i="6"/>
  <c r="AG154" i="6" l="1"/>
  <c r="AG110" i="6"/>
  <c r="AH121" i="6" l="1"/>
  <c r="AH120" i="6"/>
  <c r="AH119" i="6"/>
  <c r="AH118" i="6"/>
  <c r="AH117" i="6"/>
  <c r="AH116" i="6"/>
  <c r="AC121" i="6"/>
  <c r="AC120" i="6"/>
  <c r="AC119" i="6"/>
  <c r="AC118" i="6"/>
  <c r="AC117" i="6"/>
  <c r="AC116" i="6"/>
  <c r="AG62" i="6"/>
  <c r="X121" i="6"/>
  <c r="X120" i="6"/>
  <c r="X119" i="6"/>
  <c r="X118" i="6"/>
  <c r="X117" i="6"/>
  <c r="X116" i="6"/>
  <c r="S121" i="6"/>
  <c r="S120" i="6"/>
  <c r="S119" i="6"/>
  <c r="S118" i="6"/>
  <c r="S117" i="6"/>
  <c r="S116" i="6"/>
  <c r="N121" i="6"/>
  <c r="AN128" i="6" s="1"/>
  <c r="N120" i="6"/>
  <c r="AN127" i="6" s="1"/>
  <c r="N119" i="6"/>
  <c r="AN126" i="6" s="1"/>
  <c r="N118" i="6"/>
  <c r="AN125" i="6" s="1"/>
  <c r="N117" i="6"/>
  <c r="AN124" i="6" s="1"/>
  <c r="N116" i="6"/>
  <c r="AN123" i="6" s="1"/>
  <c r="M97" i="6"/>
  <c r="M98" i="6"/>
  <c r="M99" i="6"/>
  <c r="M100" i="6"/>
  <c r="M101" i="6"/>
  <c r="M102" i="6"/>
  <c r="M103" i="6"/>
  <c r="M104" i="6"/>
  <c r="M105" i="6"/>
  <c r="G97" i="6"/>
  <c r="G98" i="6"/>
  <c r="G99" i="6"/>
  <c r="G100" i="6"/>
  <c r="G101" i="6"/>
  <c r="G102" i="6"/>
  <c r="G103" i="6"/>
  <c r="G104" i="6"/>
  <c r="G105" i="6"/>
  <c r="B97" i="6"/>
  <c r="B98" i="6"/>
  <c r="B99" i="6"/>
  <c r="B100" i="6"/>
  <c r="B101" i="6"/>
  <c r="B102" i="6"/>
  <c r="B103" i="6"/>
  <c r="B104" i="6"/>
  <c r="B105" i="6"/>
  <c r="M96" i="6"/>
  <c r="G96" i="6"/>
  <c r="B96" i="6"/>
  <c r="M87" i="6"/>
  <c r="M88" i="6"/>
  <c r="M89" i="6"/>
  <c r="M90" i="6"/>
  <c r="M91" i="6"/>
  <c r="M92" i="6"/>
  <c r="M93" i="6"/>
  <c r="M94" i="6"/>
  <c r="M95" i="6"/>
  <c r="M86" i="6"/>
  <c r="G95" i="6"/>
  <c r="G94" i="6"/>
  <c r="G93" i="6"/>
  <c r="G92" i="6"/>
  <c r="G91" i="6"/>
  <c r="G90" i="6"/>
  <c r="G89" i="6"/>
  <c r="G88" i="6"/>
  <c r="G87" i="6"/>
  <c r="G86" i="6"/>
  <c r="B95" i="6"/>
  <c r="B94" i="6"/>
  <c r="B93" i="6"/>
  <c r="B92" i="6"/>
  <c r="B91" i="6"/>
  <c r="B90" i="6"/>
  <c r="B89" i="6"/>
  <c r="B88" i="6"/>
  <c r="B87" i="6"/>
  <c r="B86" i="6"/>
  <c r="AM146" i="6" l="1"/>
  <c r="AP105" i="6"/>
  <c r="AP104" i="6"/>
  <c r="AP103" i="6"/>
  <c r="AP102" i="6"/>
  <c r="AP101" i="6"/>
  <c r="AP100" i="6"/>
  <c r="AP99" i="6"/>
  <c r="AP98" i="6"/>
  <c r="AP97" i="6"/>
  <c r="AP96" i="6"/>
  <c r="AP95" i="6"/>
  <c r="AP94" i="6"/>
  <c r="AP93" i="6"/>
  <c r="AP92" i="6"/>
  <c r="AP91" i="6"/>
  <c r="AP90" i="6"/>
  <c r="AP89" i="6"/>
  <c r="AP88" i="6"/>
  <c r="AP87" i="6"/>
  <c r="AP86" i="6"/>
  <c r="AN86" i="6"/>
  <c r="AN78" i="6"/>
  <c r="I78" i="6"/>
  <c r="AN77" i="6"/>
  <c r="I77" i="6"/>
  <c r="O74" i="6"/>
  <c r="E74" i="6"/>
  <c r="O73" i="6"/>
  <c r="E73" i="6"/>
  <c r="AN73" i="6"/>
  <c r="AP71" i="6" s="1"/>
  <c r="L197" i="6" s="1"/>
  <c r="O72" i="6"/>
  <c r="E72" i="6"/>
  <c r="AF16" i="6"/>
  <c r="AG205" i="6" s="1"/>
  <c r="E16" i="6"/>
  <c r="E15" i="6"/>
  <c r="D204" i="6" s="1"/>
  <c r="AP77" i="6" l="1"/>
  <c r="L198" i="6" s="1"/>
  <c r="AG155" i="6"/>
  <c r="D62" i="6"/>
  <c r="D154" i="6"/>
  <c r="AG111" i="6"/>
  <c r="AO122" i="6"/>
  <c r="AS122" i="6"/>
  <c r="L213" i="6" s="1"/>
  <c r="AM197" i="6"/>
  <c r="AP122" i="6"/>
  <c r="AG63" i="6"/>
  <c r="D110" i="6"/>
  <c r="AM213" i="6" l="1"/>
  <c r="L212" i="6"/>
  <c r="AM212" i="6" s="1"/>
  <c r="L211" i="6"/>
  <c r="AM211" i="6" s="1"/>
  <c r="AN122" i="6"/>
  <c r="F40" i="5"/>
  <c r="L210" i="6" l="1"/>
  <c r="AM210" i="6" s="1"/>
  <c r="W25" i="5"/>
  <c r="AO117" i="5"/>
  <c r="AM117" i="5"/>
  <c r="AO100" i="5"/>
  <c r="AM100" i="5"/>
  <c r="AO98" i="5"/>
  <c r="AM53" i="5"/>
  <c r="AM52" i="5"/>
  <c r="AM51" i="5"/>
  <c r="AM50" i="5"/>
  <c r="AM49" i="5"/>
  <c r="AM48" i="5"/>
  <c r="AM36" i="5"/>
  <c r="AM37" i="5"/>
  <c r="AM38" i="5"/>
  <c r="AM39" i="5"/>
  <c r="AM40" i="5"/>
  <c r="AM35" i="5"/>
  <c r="AM98" i="5"/>
  <c r="AM95" i="5" l="1"/>
  <c r="L201" i="5" s="1"/>
  <c r="AL201" i="5" s="1"/>
  <c r="AM116" i="5"/>
  <c r="I116" i="6"/>
  <c r="AL95" i="5"/>
  <c r="AB43" i="5"/>
  <c r="X43" i="5"/>
  <c r="T43" i="5"/>
  <c r="P43" i="5"/>
  <c r="L43" i="5"/>
  <c r="AB30" i="5"/>
  <c r="X30" i="5"/>
  <c r="T30" i="5"/>
  <c r="AM111" i="5"/>
  <c r="AL111" i="5"/>
  <c r="AL103" i="5"/>
  <c r="AM103" i="5"/>
  <c r="AL104" i="5"/>
  <c r="AM104" i="5"/>
  <c r="AL105" i="5"/>
  <c r="AM105" i="5"/>
  <c r="AL106" i="5"/>
  <c r="AM106" i="5"/>
  <c r="AL107" i="5"/>
  <c r="AM107" i="5"/>
  <c r="AL108" i="5"/>
  <c r="AM108" i="5"/>
  <c r="AL109" i="5"/>
  <c r="AM109" i="5"/>
  <c r="AL110" i="5"/>
  <c r="AM110" i="5"/>
  <c r="AM102" i="5"/>
  <c r="AL102" i="5"/>
  <c r="AE116" i="5"/>
  <c r="AE115" i="5"/>
  <c r="D115" i="5"/>
  <c r="AE60" i="5"/>
  <c r="AE59" i="5"/>
  <c r="D59" i="5"/>
  <c r="J81" i="6"/>
  <c r="BJ1" i="5"/>
  <c r="AM123" i="6" l="1"/>
  <c r="AM116" i="6"/>
  <c r="AN81" i="6"/>
  <c r="AN83" i="6"/>
  <c r="L199" i="6" s="1"/>
  <c r="L202" i="5"/>
  <c r="AL202" i="5" s="1"/>
  <c r="I121" i="6"/>
  <c r="I120" i="6"/>
  <c r="I119" i="6"/>
  <c r="I118" i="6"/>
  <c r="I117" i="6"/>
  <c r="AM34" i="5"/>
  <c r="L193" i="5" s="1"/>
  <c r="AM120" i="5"/>
  <c r="L206" i="5" s="1"/>
  <c r="AM47" i="5"/>
  <c r="L194" i="5" s="1"/>
  <c r="L205" i="5"/>
  <c r="AM125" i="6" l="1"/>
  <c r="AM118" i="6"/>
  <c r="AM127" i="6"/>
  <c r="AM120" i="6"/>
  <c r="AM124" i="6"/>
  <c r="AM117" i="6"/>
  <c r="AM126" i="6"/>
  <c r="AM119" i="6"/>
  <c r="AM128" i="6"/>
  <c r="AM121" i="6"/>
  <c r="AM199" i="6"/>
  <c r="AL194" i="5"/>
  <c r="AL193" i="5"/>
  <c r="AL205" i="5"/>
  <c r="AL206" i="5"/>
  <c r="H112" i="5"/>
  <c r="AM112" i="5" l="1"/>
  <c r="AM113" i="5"/>
  <c r="L203" i="5" s="1"/>
  <c r="AL203" i="5" s="1"/>
  <c r="AN120" i="5"/>
  <c r="L207" i="5" s="1"/>
  <c r="AL207" i="5" s="1"/>
  <c r="AL192" i="5" l="1"/>
  <c r="AM122" i="6"/>
  <c r="AM198" i="6"/>
  <c r="L209" i="6" l="1"/>
  <c r="AM209" i="6" s="1"/>
  <c r="AM19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4" authorId="0" shapeId="0" xr:uid="{3B287515-92BC-408D-8E97-4BEC19640ABE}">
      <text>
        <r>
          <rPr>
            <b/>
            <sz val="9"/>
            <color indexed="81"/>
            <rFont val="Tahoma"/>
            <family val="2"/>
          </rPr>
          <t>Note:</t>
        </r>
        <r>
          <rPr>
            <sz val="9"/>
            <color indexed="81"/>
            <rFont val="Tahoma"/>
            <family val="2"/>
          </rPr>
          <t xml:space="preserve">
Enter street address of proposed development</t>
        </r>
      </text>
    </comment>
    <comment ref="AE14" authorId="0" shapeId="0" xr:uid="{67630AD7-BFFE-4FD8-838A-A9581D30D04C}">
      <text>
        <r>
          <rPr>
            <b/>
            <sz val="9"/>
            <color indexed="81"/>
            <rFont val="Tahoma"/>
            <family val="2"/>
          </rPr>
          <t>Note:</t>
        </r>
        <r>
          <rPr>
            <sz val="9"/>
            <color indexed="81"/>
            <rFont val="Tahoma"/>
            <family val="2"/>
          </rPr>
          <t xml:space="preserve">
Provide a unique BMP ID
Examples:
   Pond 1
   Pond A
   1
   A</t>
        </r>
      </text>
    </comment>
    <comment ref="AA21" authorId="0" shapeId="0" xr:uid="{66BC69E3-08C5-47F4-9215-EC20B28777A7}">
      <text>
        <r>
          <rPr>
            <b/>
            <sz val="9"/>
            <color indexed="81"/>
            <rFont val="Tahoma"/>
            <family val="2"/>
          </rPr>
          <t>Note:</t>
        </r>
        <r>
          <rPr>
            <sz val="9"/>
            <color indexed="81"/>
            <rFont val="Tahoma"/>
            <family val="2"/>
          </rPr>
          <t xml:space="preserve">
If there is no EIA, enter 0</t>
        </r>
      </text>
    </comment>
    <comment ref="L31" authorId="0" shapeId="0" xr:uid="{9286438A-A5CF-4AD2-95AB-70338108127D}">
      <text>
        <r>
          <rPr>
            <b/>
            <sz val="9"/>
            <color indexed="81"/>
            <rFont val="Tahoma"/>
            <family val="2"/>
          </rPr>
          <t>Note:</t>
        </r>
        <r>
          <rPr>
            <sz val="9"/>
            <color indexed="81"/>
            <rFont val="Tahoma"/>
            <family val="2"/>
          </rPr>
          <t xml:space="preserve">
Enter a unique Basin ID for each subbasin</t>
        </r>
      </text>
    </comment>
    <comment ref="L44" authorId="0" shapeId="0" xr:uid="{D824465B-891A-46CF-A544-FF165EC279FD}">
      <text>
        <r>
          <rPr>
            <b/>
            <sz val="9"/>
            <color indexed="81"/>
            <rFont val="Tahoma"/>
            <family val="2"/>
          </rPr>
          <t>Note:</t>
        </r>
        <r>
          <rPr>
            <sz val="9"/>
            <color indexed="81"/>
            <rFont val="Tahoma"/>
            <family val="2"/>
          </rPr>
          <t xml:space="preserve">
Enter a unique Basin ID for each subbasin</t>
        </r>
      </text>
    </comment>
    <comment ref="O117" authorId="0" shapeId="0" xr:uid="{521CB1EE-FE96-4028-8E94-5361BEA69DDD}">
      <text>
        <r>
          <rPr>
            <b/>
            <sz val="9"/>
            <color indexed="81"/>
            <rFont val="Tahoma"/>
            <family val="2"/>
          </rPr>
          <t>Note:</t>
        </r>
        <r>
          <rPr>
            <sz val="9"/>
            <color indexed="81"/>
            <rFont val="Tahoma"/>
            <family val="2"/>
          </rPr>
          <t xml:space="preserve">
Enter number in decimal format.  Example: 00.000000</t>
        </r>
      </text>
    </comment>
    <comment ref="W117" authorId="0" shapeId="0" xr:uid="{AC34BECD-83DA-4A12-AA5C-7081C479F107}">
      <text>
        <r>
          <rPr>
            <b/>
            <sz val="9"/>
            <color indexed="81"/>
            <rFont val="Tahoma"/>
            <family val="2"/>
          </rPr>
          <t>Note:</t>
        </r>
        <r>
          <rPr>
            <sz val="9"/>
            <color indexed="81"/>
            <rFont val="Tahoma"/>
            <family val="2"/>
          </rPr>
          <t xml:space="preserve">
Enter number in decimal format.  Example: 00.000000</t>
        </r>
      </text>
    </comment>
    <comment ref="F144" authorId="0" shapeId="0" xr:uid="{891B0DB3-522B-4632-957D-4BE185001631}">
      <text>
        <r>
          <rPr>
            <b/>
            <sz val="9"/>
            <color indexed="81"/>
            <rFont val="Tahoma"/>
            <family val="2"/>
          </rPr>
          <t>Note:</t>
        </r>
        <r>
          <rPr>
            <sz val="9"/>
            <color indexed="81"/>
            <rFont val="Tahoma"/>
            <family val="2"/>
          </rPr>
          <t xml:space="preserve">
Enter street addres of proposed development</t>
        </r>
      </text>
    </comment>
    <comment ref="AD149" authorId="0" shapeId="0" xr:uid="{8A5A44CD-BF14-430C-A795-D927779D9803}">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2.  If comments are shown in the Automated Review Checks, resolve the comments or provide an explination in the comments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5" authorId="0" shapeId="0" xr:uid="{FA34AD01-D99C-43DE-853A-2397B9F12B34}">
      <text>
        <r>
          <rPr>
            <b/>
            <sz val="9"/>
            <color indexed="81"/>
            <rFont val="Tahoma"/>
            <family val="2"/>
          </rPr>
          <t>Note:</t>
        </r>
        <r>
          <rPr>
            <sz val="9"/>
            <color indexed="81"/>
            <rFont val="Tahoma"/>
            <family val="2"/>
          </rPr>
          <t xml:space="preserve">
Enter street address of proposed development</t>
        </r>
      </text>
    </comment>
    <comment ref="AE15" authorId="0" shapeId="0" xr:uid="{5CE521E2-3D70-4274-B7CC-6CD76C9E8FF9}">
      <text>
        <r>
          <rPr>
            <b/>
            <sz val="9"/>
            <color indexed="81"/>
            <rFont val="Tahoma"/>
            <family val="2"/>
          </rPr>
          <t>Note:</t>
        </r>
        <r>
          <rPr>
            <sz val="9"/>
            <color indexed="81"/>
            <rFont val="Tahoma"/>
            <family val="2"/>
          </rPr>
          <t xml:space="preserve">
Enter number in decimal format.  Example: 00.000000</t>
        </r>
      </text>
    </comment>
    <comment ref="AE16" authorId="0" shapeId="0" xr:uid="{840522BC-FE8D-434C-9371-BEA4C56B600E}">
      <text>
        <r>
          <rPr>
            <b/>
            <sz val="9"/>
            <color indexed="81"/>
            <rFont val="Tahoma"/>
            <family val="2"/>
          </rPr>
          <t>Note:</t>
        </r>
        <r>
          <rPr>
            <sz val="9"/>
            <color indexed="81"/>
            <rFont val="Tahoma"/>
            <family val="2"/>
          </rPr>
          <t xml:space="preserve">
Enter number in decimal format.  Example: -00.000000</t>
        </r>
      </text>
    </comment>
    <comment ref="E85" authorId="0" shapeId="0" xr:uid="{06990E49-1566-4578-8A79-EDF2B8E3B998}">
      <text>
        <r>
          <rPr>
            <b/>
            <sz val="9"/>
            <color indexed="81"/>
            <rFont val="Tahoma"/>
            <family val="2"/>
          </rPr>
          <t>Note:</t>
        </r>
        <r>
          <rPr>
            <sz val="9"/>
            <color indexed="81"/>
            <rFont val="Tahoma"/>
            <family val="2"/>
          </rPr>
          <t xml:space="preserve">
Enter street address of proposed development</t>
        </r>
      </text>
    </comment>
    <comment ref="AC90" authorId="0" shapeId="0" xr:uid="{D09EBA1F-3E52-40C4-A7BA-224A885AC44A}">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or provide an explanation in the comments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AD77" authorId="0" shapeId="0" xr:uid="{0A8A7216-34DD-4466-836A-0885FB0DF71B}">
      <text>
        <r>
          <rPr>
            <b/>
            <sz val="9"/>
            <color indexed="81"/>
            <rFont val="Tahoma"/>
            <family val="2"/>
          </rPr>
          <t>Note:</t>
        </r>
        <r>
          <rPr>
            <sz val="9"/>
            <color indexed="81"/>
            <rFont val="Tahoma"/>
            <family val="2"/>
          </rPr>
          <t xml:space="preserve">
Enter number in decimal format.
Example: 00.000000</t>
        </r>
      </text>
    </comment>
    <comment ref="AD78" authorId="0" shapeId="0" xr:uid="{FC766ED8-AFFD-46E1-B86E-C24BCC163475}">
      <text>
        <r>
          <rPr>
            <b/>
            <sz val="9"/>
            <color indexed="81"/>
            <rFont val="Tahoma"/>
            <family val="2"/>
          </rPr>
          <t>Note:</t>
        </r>
        <r>
          <rPr>
            <sz val="9"/>
            <color indexed="81"/>
            <rFont val="Tahoma"/>
            <family val="2"/>
          </rPr>
          <t xml:space="preserve">
Enter number in decimal format.
Example: 00.000000</t>
        </r>
      </text>
    </comment>
    <comment ref="E163" authorId="0" shapeId="0" xr:uid="{FDF7813E-5190-4172-B55D-42AD9CD86139}">
      <text>
        <r>
          <rPr>
            <b/>
            <sz val="9"/>
            <color indexed="81"/>
            <rFont val="Tahoma"/>
            <family val="2"/>
          </rPr>
          <t>Note:</t>
        </r>
        <r>
          <rPr>
            <sz val="9"/>
            <color indexed="81"/>
            <rFont val="Tahoma"/>
            <family val="2"/>
          </rPr>
          <t xml:space="preserve">
Enter street addres of proposed development</t>
        </r>
      </text>
    </comment>
    <comment ref="AC168" authorId="0" shapeId="0" xr:uid="{F28ABC87-7DD1-45F8-A735-1EF6FFD9430B}">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2.  If comments are shown in the Automated Review Checks, resolve the comments or provide an explination in the comments section.</t>
        </r>
      </text>
    </comment>
  </commentList>
</comments>
</file>

<file path=xl/sharedStrings.xml><?xml version="1.0" encoding="utf-8"?>
<sst xmlns="http://schemas.openxmlformats.org/spreadsheetml/2006/main" count="1289" uniqueCount="491">
  <si>
    <t>Development Information</t>
  </si>
  <si>
    <t>Name:</t>
  </si>
  <si>
    <t>Proposed Impervious Area (PIA)</t>
  </si>
  <si>
    <t>Pre-Development</t>
  </si>
  <si>
    <t>Curve Number:</t>
  </si>
  <si>
    <t>(WQ)</t>
  </si>
  <si>
    <t>(2-yr)</t>
  </si>
  <si>
    <t>(5-yr)</t>
  </si>
  <si>
    <t>(10-yr)</t>
  </si>
  <si>
    <t>(25-yr)</t>
  </si>
  <si>
    <t>(100-yr)</t>
  </si>
  <si>
    <t>Post-Development</t>
  </si>
  <si>
    <t>Post Total</t>
  </si>
  <si>
    <t>Pre Total</t>
  </si>
  <si>
    <t>Emergency Spillway</t>
  </si>
  <si>
    <t>Outfall Location</t>
  </si>
  <si>
    <t>Pond Stage-Area-Storage Summary</t>
  </si>
  <si>
    <t>Elevation</t>
  </si>
  <si>
    <t>Area</t>
  </si>
  <si>
    <t>Professional Engineer Certification</t>
  </si>
  <si>
    <t>Address:</t>
  </si>
  <si>
    <t>Date:</t>
  </si>
  <si>
    <t>Approval Status:</t>
  </si>
  <si>
    <t>Comments:</t>
  </si>
  <si>
    <t>Material</t>
  </si>
  <si>
    <t>Concrete</t>
  </si>
  <si>
    <t>Metal</t>
  </si>
  <si>
    <t>HDPP</t>
  </si>
  <si>
    <t>PVC</t>
  </si>
  <si>
    <t>HDPE</t>
  </si>
  <si>
    <t>Material:</t>
  </si>
  <si>
    <t>Other</t>
  </si>
  <si>
    <t>Select</t>
  </si>
  <si>
    <t>Shape:</t>
  </si>
  <si>
    <t>Shape</t>
  </si>
  <si>
    <t>BMP ID:</t>
  </si>
  <si>
    <t>Existing Impervious Area (EIA):</t>
  </si>
  <si>
    <t>acres</t>
  </si>
  <si>
    <r>
      <t>Water Quality Volume (WQ</t>
    </r>
    <r>
      <rPr>
        <vertAlign val="subscript"/>
        <sz val="10"/>
        <color theme="1"/>
        <rFont val="Calibri"/>
        <family val="2"/>
      </rPr>
      <t>v</t>
    </r>
    <r>
      <rPr>
        <sz val="10"/>
        <color theme="1"/>
        <rFont val="Calibri"/>
        <family val="2"/>
        <scheme val="minor"/>
      </rPr>
      <t>):</t>
    </r>
  </si>
  <si>
    <r>
      <t>ft</t>
    </r>
    <r>
      <rPr>
        <vertAlign val="superscript"/>
        <sz val="8"/>
        <color theme="1"/>
        <rFont val="Calibri"/>
        <family val="2"/>
      </rPr>
      <t>3</t>
    </r>
  </si>
  <si>
    <r>
      <t>WQ</t>
    </r>
    <r>
      <rPr>
        <vertAlign val="subscript"/>
        <sz val="10"/>
        <color theme="1"/>
        <rFont val="Calibri"/>
        <family val="2"/>
      </rPr>
      <t>v</t>
    </r>
    <r>
      <rPr>
        <sz val="10"/>
        <color theme="1"/>
        <rFont val="Calibri"/>
        <family val="2"/>
        <scheme val="minor"/>
      </rPr>
      <t xml:space="preserve"> = </t>
    </r>
  </si>
  <si>
    <r>
      <t>ft</t>
    </r>
    <r>
      <rPr>
        <vertAlign val="superscript"/>
        <sz val="10"/>
        <color theme="1"/>
        <rFont val="Calibri"/>
        <family val="2"/>
      </rPr>
      <t>2</t>
    </r>
  </si>
  <si>
    <t>Width:</t>
  </si>
  <si>
    <t>Inv. EL</t>
  </si>
  <si>
    <t>in</t>
  </si>
  <si>
    <t>ft</t>
  </si>
  <si>
    <t>Length:</t>
  </si>
  <si>
    <t>Crest EL.:</t>
  </si>
  <si>
    <t>Latitude:</t>
  </si>
  <si>
    <t>Longitude:</t>
  </si>
  <si>
    <t>Basin ID:</t>
  </si>
  <si>
    <t>Total Area:</t>
  </si>
  <si>
    <t>Cumulative Vol.</t>
  </si>
  <si>
    <r>
      <t>WQ</t>
    </r>
    <r>
      <rPr>
        <vertAlign val="subscript"/>
        <sz val="15"/>
        <color theme="1"/>
        <rFont val="Calibri"/>
        <family val="2"/>
      </rPr>
      <t>v</t>
    </r>
    <r>
      <rPr>
        <sz val="10"/>
        <color theme="1"/>
        <rFont val="Calibri"/>
        <family val="2"/>
        <scheme val="minor"/>
      </rPr>
      <t xml:space="preserve"> Required:</t>
    </r>
  </si>
  <si>
    <r>
      <t>WQ</t>
    </r>
    <r>
      <rPr>
        <vertAlign val="subscript"/>
        <sz val="15"/>
        <color theme="1"/>
        <rFont val="Calibri"/>
        <family val="2"/>
      </rPr>
      <t>v</t>
    </r>
    <r>
      <rPr>
        <sz val="10"/>
        <color theme="1"/>
        <rFont val="Calibri"/>
        <family val="2"/>
        <scheme val="minor"/>
      </rPr>
      <t xml:space="preserve"> Provided:</t>
    </r>
  </si>
  <si>
    <t>Width</t>
  </si>
  <si>
    <t>Time of Concentration (min):</t>
  </si>
  <si>
    <t>Additional Impervious Area (AIA) = PIA - EIA</t>
  </si>
  <si>
    <t>AIA =</t>
  </si>
  <si>
    <t>Design</t>
  </si>
  <si>
    <t>As-Built</t>
  </si>
  <si>
    <t>Water Quality Volume (WQv)</t>
  </si>
  <si>
    <t>WQv Required:</t>
  </si>
  <si>
    <t>WQv Provided:</t>
  </si>
  <si>
    <t>Reviewed:</t>
  </si>
  <si>
    <r>
      <t>Pre Q
(ft</t>
    </r>
    <r>
      <rPr>
        <vertAlign val="superscript"/>
        <sz val="8"/>
        <color theme="1"/>
        <rFont val="Calibri"/>
        <family val="2"/>
      </rPr>
      <t>3</t>
    </r>
    <r>
      <rPr>
        <sz val="10"/>
        <color theme="1"/>
        <rFont val="Calibri"/>
        <family val="2"/>
        <scheme val="minor"/>
      </rPr>
      <t>/s)</t>
    </r>
  </si>
  <si>
    <r>
      <t>Total Post 
Q (ft</t>
    </r>
    <r>
      <rPr>
        <vertAlign val="superscript"/>
        <sz val="8"/>
        <color theme="1"/>
        <rFont val="Calibri"/>
        <family val="2"/>
      </rPr>
      <t>3</t>
    </r>
    <r>
      <rPr>
        <sz val="10"/>
        <color theme="1"/>
        <rFont val="Calibri"/>
        <family val="2"/>
        <scheme val="minor"/>
      </rPr>
      <t>/s)</t>
    </r>
  </si>
  <si>
    <t>Type</t>
  </si>
  <si>
    <t>Enter data as applicable for the proposed design.</t>
  </si>
  <si>
    <t>General Instructions</t>
  </si>
  <si>
    <t>If a field is highlighted yellow after a number is entered, the yellow highlight may indicate an error and/or concern.  Once the error and/or concern is resolved, the yellow highlight will be removed.  All yellow highlighted cells shall be resolved or an explanitation provided prior to completing the form.</t>
  </si>
  <si>
    <t>Field Types</t>
  </si>
  <si>
    <t>Supplemental Instructions</t>
  </si>
  <si>
    <t>Use the drop down list to select a shape.</t>
  </si>
  <si>
    <t>Riprap</t>
  </si>
  <si>
    <t>Earthen</t>
  </si>
  <si>
    <t>Geotextile</t>
  </si>
  <si>
    <t>Total Post Q &gt; Pre Q</t>
  </si>
  <si>
    <t>Max Stage</t>
  </si>
  <si>
    <t>Total Post</t>
  </si>
  <si>
    <t>Post Total not completed</t>
  </si>
  <si>
    <t>Length</t>
  </si>
  <si>
    <t>Crest</t>
  </si>
  <si>
    <t>Top</t>
  </si>
  <si>
    <t>E. Spillway</t>
  </si>
  <si>
    <t>Design Response</t>
  </si>
  <si>
    <t>Emergency Spillway Section not completed</t>
  </si>
  <si>
    <t>Pre Total not compeleted</t>
  </si>
  <si>
    <t>Max Stage:</t>
  </si>
  <si>
    <t>Automated Review Checks</t>
  </si>
  <si>
    <t>Form Section</t>
  </si>
  <si>
    <t>Pre-Development:</t>
  </si>
  <si>
    <t>Post-Development:</t>
  </si>
  <si>
    <t>Emergency Spillway:</t>
  </si>
  <si>
    <t>Total Post Q:</t>
  </si>
  <si>
    <t>Photographs, at a minimum, shall include the following:</t>
  </si>
  <si>
    <t>The developer / owner shall retain the services of a professional land surveyor to:</t>
  </si>
  <si>
    <t>Develop an as-built drawing.</t>
  </si>
  <si>
    <t>a.</t>
  </si>
  <si>
    <t>b.</t>
  </si>
  <si>
    <t>The developer shall retain the services of a professional engineer to:</t>
  </si>
  <si>
    <t>H&amp;H Calculations</t>
  </si>
  <si>
    <t>Photographs</t>
  </si>
  <si>
    <t>Storm sewers showing pipes, inlets, junction boxes, outlets, outlet protection, and invert elevations</t>
  </si>
  <si>
    <t>Detail of emergency spillway showing elevations and dimensions</t>
  </si>
  <si>
    <t>Outlet pipe discharge location and outlet protection</t>
  </si>
  <si>
    <t>Emergency spillway and discharge location</t>
  </si>
  <si>
    <t>Prior to approval of the Final Plat.</t>
  </si>
  <si>
    <t>Provide ALL required attachments:</t>
  </si>
  <si>
    <t>As-Built Survey Drawing(s)</t>
  </si>
  <si>
    <t>As-built survey, at a minimum, shall include the following:</t>
  </si>
  <si>
    <t>The issuance of a Certificate of Occupancy; and/or,</t>
  </si>
  <si>
    <t>e.</t>
  </si>
  <si>
    <t>c.</t>
  </si>
  <si>
    <t>d.</t>
  </si>
  <si>
    <t>f.</t>
  </si>
  <si>
    <t>•</t>
  </si>
  <si>
    <t>Outfall Location:</t>
  </si>
  <si>
    <t>Latitude and/or Longitude not provided</t>
  </si>
  <si>
    <t>Max Stage for 2, 5, 10, and/or 25-year storm  &gt; Emergency Spillway Crest Elevation</t>
  </si>
  <si>
    <t xml:space="preserve">This is a calculated field.  Once the required information is entered, the orange highlight will be removed. </t>
  </si>
  <si>
    <t>Use the drop down list to select a material.</t>
  </si>
  <si>
    <t>Pond Top EL.:</t>
  </si>
  <si>
    <t>Review Status</t>
  </si>
  <si>
    <t>General design standards and requirements shall be as follows:</t>
  </si>
  <si>
    <t xml:space="preserve"> As-built Survey</t>
  </si>
  <si>
    <t xml:space="preserve"> As-built H&amp;H Calculations</t>
  </si>
  <si>
    <t xml:space="preserve"> O&amp;M Agreement</t>
  </si>
  <si>
    <t>Attachments:</t>
  </si>
  <si>
    <t xml:space="preserve"> Photos</t>
  </si>
  <si>
    <t xml:space="preserve"> Yes</t>
  </si>
  <si>
    <t xml:space="preserve"> No</t>
  </si>
  <si>
    <t xml:space="preserve"> Approved</t>
  </si>
  <si>
    <t xml:space="preserve"> Approved Contingent</t>
  </si>
  <si>
    <t xml:space="preserve"> Denied</t>
  </si>
  <si>
    <t xml:space="preserve"> Incomplete</t>
  </si>
  <si>
    <r>
      <t>Pre Q
(ft</t>
    </r>
    <r>
      <rPr>
        <vertAlign val="superscript"/>
        <sz val="9"/>
        <color theme="1"/>
        <rFont val="Calibri"/>
        <family val="2"/>
      </rPr>
      <t>3</t>
    </r>
    <r>
      <rPr>
        <sz val="9"/>
        <color theme="1"/>
        <rFont val="Calibri"/>
        <family val="2"/>
        <scheme val="minor"/>
      </rPr>
      <t>/s)</t>
    </r>
  </si>
  <si>
    <r>
      <t>Total Post 
Q (ft</t>
    </r>
    <r>
      <rPr>
        <vertAlign val="superscript"/>
        <sz val="9"/>
        <color theme="1"/>
        <rFont val="Calibri"/>
        <family val="2"/>
      </rPr>
      <t>3</t>
    </r>
    <r>
      <rPr>
        <sz val="9"/>
        <color theme="1"/>
        <rFont val="Calibri"/>
        <family val="2"/>
        <scheme val="minor"/>
      </rPr>
      <t>/s)</t>
    </r>
  </si>
  <si>
    <t xml:space="preserve"> Design Drawings</t>
  </si>
  <si>
    <t xml:space="preserve"> H&amp;H Calculations</t>
  </si>
  <si>
    <t xml:space="preserve"> Drainage Basin Maps</t>
  </si>
  <si>
    <t>Drainage Area (acre):</t>
  </si>
  <si>
    <t>Owner's Information</t>
  </si>
  <si>
    <t xml:space="preserve"> Not Applicable</t>
  </si>
  <si>
    <t xml:space="preserve">Name: </t>
  </si>
  <si>
    <t xml:space="preserve">Address: </t>
  </si>
  <si>
    <t xml:space="preserve">Email: </t>
  </si>
  <si>
    <t xml:space="preserve">HOA Name: </t>
  </si>
  <si>
    <t xml:space="preserve">State: </t>
  </si>
  <si>
    <t xml:space="preserve">Zip Code: </t>
  </si>
  <si>
    <t xml:space="preserve">Phone: </t>
  </si>
  <si>
    <t xml:space="preserve">Title: </t>
  </si>
  <si>
    <t xml:space="preserve">Detail Attached: </t>
  </si>
  <si>
    <t>No</t>
  </si>
  <si>
    <t>Lat</t>
  </si>
  <si>
    <t>Long</t>
  </si>
  <si>
    <t>Lat &amp; Long</t>
  </si>
  <si>
    <r>
      <t>WQ</t>
    </r>
    <r>
      <rPr>
        <vertAlign val="subscript"/>
        <sz val="10"/>
        <color theme="1"/>
        <rFont val="Calibri"/>
        <family val="2"/>
        <scheme val="minor"/>
      </rPr>
      <t>v</t>
    </r>
    <r>
      <rPr>
        <sz val="10"/>
        <color theme="1"/>
        <rFont val="Calibri"/>
        <family val="2"/>
        <scheme val="minor"/>
      </rPr>
      <t>:</t>
    </r>
  </si>
  <si>
    <r>
      <t>WQ</t>
    </r>
    <r>
      <rPr>
        <vertAlign val="subscript"/>
        <sz val="11"/>
        <color theme="1"/>
        <rFont val="Calibri"/>
        <family val="2"/>
        <scheme val="minor"/>
      </rPr>
      <t>v</t>
    </r>
    <r>
      <rPr>
        <sz val="11"/>
        <color theme="1"/>
        <rFont val="Calibri"/>
        <family val="2"/>
        <scheme val="minor"/>
      </rPr>
      <t xml:space="preserve"> Required &gt; WQ</t>
    </r>
    <r>
      <rPr>
        <vertAlign val="subscript"/>
        <sz val="11"/>
        <color theme="1"/>
        <rFont val="Calibri"/>
        <family val="2"/>
        <scheme val="minor"/>
      </rPr>
      <t>v</t>
    </r>
    <r>
      <rPr>
        <sz val="11"/>
        <color theme="1"/>
        <rFont val="Calibri"/>
        <family val="2"/>
        <scheme val="minor"/>
      </rPr>
      <t xml:space="preserve"> Provided</t>
    </r>
  </si>
  <si>
    <t>WQv</t>
  </si>
  <si>
    <t>Pre Q</t>
  </si>
  <si>
    <t>Pond In Q</t>
  </si>
  <si>
    <t>Pre Q:</t>
  </si>
  <si>
    <t>Montgomery</t>
  </si>
  <si>
    <t>Hoover</t>
  </si>
  <si>
    <t>Prattville</t>
  </si>
  <si>
    <t>Mobile</t>
  </si>
  <si>
    <t xml:space="preserve">Select City: </t>
  </si>
  <si>
    <t xml:space="preserve">Trash Rack: </t>
  </si>
  <si>
    <t>Yes</t>
  </si>
  <si>
    <t xml:space="preserve">Width: </t>
  </si>
  <si>
    <t xml:space="preserve">Diameter: </t>
  </si>
  <si>
    <t xml:space="preserve">Material: </t>
  </si>
  <si>
    <t xml:space="preserve">Shape: </t>
  </si>
  <si>
    <t xml:space="preserve">Length: </t>
  </si>
  <si>
    <t>Round</t>
  </si>
  <si>
    <t>Rectangle</t>
  </si>
  <si>
    <t>Trapezoid</t>
  </si>
  <si>
    <t>Square</t>
  </si>
  <si>
    <t>Development Information:</t>
  </si>
  <si>
    <t xml:space="preserve">Date: </t>
  </si>
  <si>
    <t xml:space="preserve">Latitude: </t>
  </si>
  <si>
    <t xml:space="preserve">Longitude: </t>
  </si>
  <si>
    <t xml:space="preserve">Contact: </t>
  </si>
  <si>
    <t xml:space="preserve">Company: </t>
  </si>
  <si>
    <t xml:space="preserve">Signature: </t>
  </si>
  <si>
    <t xml:space="preserve">Comments: </t>
  </si>
  <si>
    <t xml:space="preserve">Select: </t>
  </si>
  <si>
    <t xml:space="preserve">Orifice: </t>
  </si>
  <si>
    <t xml:space="preserve">Crest EL: </t>
  </si>
  <si>
    <t xml:space="preserve">Attachments: </t>
  </si>
  <si>
    <t xml:space="preserve">Buildings / Structures: </t>
  </si>
  <si>
    <t xml:space="preserve">Driveways / Sidewalks: </t>
  </si>
  <si>
    <t xml:space="preserve">Roads: </t>
  </si>
  <si>
    <t xml:space="preserve">Parking: </t>
  </si>
  <si>
    <t xml:space="preserve">Other: </t>
  </si>
  <si>
    <t xml:space="preserve">Total PIA: </t>
  </si>
  <si>
    <t>Select either "Yes" or "No" by placing an "X" in the appropriate box.  Once an "X" is entered, the green highlight will be removed.</t>
  </si>
  <si>
    <t>Automated Review Checks:  Once information and data are entered into the form, the form will check the information entered and identify any potential issues or concerns.  Prior to printing the form, all automated comments shall be resolved.</t>
  </si>
  <si>
    <t>Automated Comments</t>
  </si>
  <si>
    <t xml:space="preserve"> Soils Data</t>
  </si>
  <si>
    <t xml:space="preserve"> Maintenance Plan</t>
  </si>
  <si>
    <t xml:space="preserve">Hydrologic Soil Group: </t>
  </si>
  <si>
    <t xml:space="preserve"> A</t>
  </si>
  <si>
    <t xml:space="preserve"> B</t>
  </si>
  <si>
    <t xml:space="preserve"> C</t>
  </si>
  <si>
    <t xml:space="preserve"> D</t>
  </si>
  <si>
    <t xml:space="preserve">Water Table Depth: </t>
  </si>
  <si>
    <t xml:space="preserve">Saturated Hydraulic Conductivity: </t>
  </si>
  <si>
    <t>in/hr</t>
  </si>
  <si>
    <t xml:space="preserve">Type: </t>
  </si>
  <si>
    <t xml:space="preserve">Pretreatment: </t>
  </si>
  <si>
    <t>Depth</t>
  </si>
  <si>
    <t>Bottom EL</t>
  </si>
  <si>
    <t>Top EL</t>
  </si>
  <si>
    <t>ea</t>
  </si>
  <si>
    <t>Diameter</t>
  </si>
  <si>
    <t xml:space="preserve"> Underdrain Pipe(s)</t>
  </si>
  <si>
    <t xml:space="preserve">Outlet Pipe Inv. EL: </t>
  </si>
  <si>
    <t xml:space="preserve">Perforated Pipe Inv. EL: </t>
  </si>
  <si>
    <t xml:space="preserve"> System Cross Section</t>
  </si>
  <si>
    <t xml:space="preserve"> No Underdrain System</t>
  </si>
  <si>
    <t>Discharge Summary</t>
  </si>
  <si>
    <r>
      <t>In Q
(ft</t>
    </r>
    <r>
      <rPr>
        <vertAlign val="superscript"/>
        <sz val="8"/>
        <color theme="1"/>
        <rFont val="Calibri"/>
        <family val="2"/>
      </rPr>
      <t>3</t>
    </r>
    <r>
      <rPr>
        <sz val="10"/>
        <color theme="1"/>
        <rFont val="Calibri"/>
        <family val="2"/>
        <scheme val="minor"/>
      </rPr>
      <t>/s)</t>
    </r>
  </si>
  <si>
    <r>
      <t>Out Q 
(ft</t>
    </r>
    <r>
      <rPr>
        <vertAlign val="superscript"/>
        <sz val="8"/>
        <color theme="1"/>
        <rFont val="Calibri"/>
        <family val="2"/>
      </rPr>
      <t>3</t>
    </r>
    <r>
      <rPr>
        <sz val="10"/>
        <color theme="1"/>
        <rFont val="Calibri"/>
        <family val="2"/>
        <scheme val="minor"/>
      </rPr>
      <t>/s)</t>
    </r>
  </si>
  <si>
    <t>ES Tot</t>
  </si>
  <si>
    <t xml:space="preserve">Inv. EL: </t>
  </si>
  <si>
    <t>Discharge Summary:</t>
  </si>
  <si>
    <r>
      <t>In Q
(ft</t>
    </r>
    <r>
      <rPr>
        <vertAlign val="superscript"/>
        <sz val="9"/>
        <color theme="1"/>
        <rFont val="Calibri"/>
        <family val="2"/>
      </rPr>
      <t>3</t>
    </r>
    <r>
      <rPr>
        <sz val="9"/>
        <color theme="1"/>
        <rFont val="Calibri"/>
        <family val="2"/>
        <scheme val="minor"/>
      </rPr>
      <t>/s)</t>
    </r>
  </si>
  <si>
    <r>
      <t>Out Q 
(ft</t>
    </r>
    <r>
      <rPr>
        <vertAlign val="superscript"/>
        <sz val="9"/>
        <color theme="1"/>
        <rFont val="Calibri"/>
        <family val="2"/>
      </rPr>
      <t>3</t>
    </r>
    <r>
      <rPr>
        <sz val="9"/>
        <color theme="1"/>
        <rFont val="Calibri"/>
        <family val="2"/>
        <scheme val="minor"/>
      </rPr>
      <t>/s)</t>
    </r>
  </si>
  <si>
    <t>This is a required field.  Place an "X" in the appropriate box and the green highlight will be removed.  In some cases, the selection is optional.  Once an option is completed, additional fields will be highlighted green and in some fields the green highlight will be removed.</t>
  </si>
  <si>
    <t>Once the Design, As-built, or Inspection Forms are completed, there should be no green, yellow, or orange highlighted fields.</t>
  </si>
  <si>
    <t>The Supplemental Instructions provide additional guidance and design standards.</t>
  </si>
  <si>
    <t>Form 3D - Bioretention Area
As-Built Certification Form</t>
  </si>
  <si>
    <t>Form 2D - Bioretention Area
Design Form</t>
  </si>
  <si>
    <t xml:space="preserve"> Vegetation Plan</t>
  </si>
  <si>
    <t>Bioretention Area</t>
  </si>
  <si>
    <t xml:space="preserve">Drainage Area: </t>
  </si>
  <si>
    <t xml:space="preserve">Land Slope: </t>
  </si>
  <si>
    <t>%</t>
  </si>
  <si>
    <t>Cleanout Pipe(s)</t>
  </si>
  <si>
    <t xml:space="preserve">Mulch: </t>
  </si>
  <si>
    <t xml:space="preserve">Bioretention Media: </t>
  </si>
  <si>
    <t xml:space="preserve">Stone: </t>
  </si>
  <si>
    <t>Overflow Structure</t>
  </si>
  <si>
    <t>Outlet Pipe</t>
  </si>
  <si>
    <t>Internal Water Storage</t>
  </si>
  <si>
    <t xml:space="preserve">Depth: </t>
  </si>
  <si>
    <t xml:space="preserve">Drain Time: </t>
  </si>
  <si>
    <t>hrs</t>
  </si>
  <si>
    <t>Ponded Water</t>
  </si>
  <si>
    <t xml:space="preserve">No. Pipes: </t>
  </si>
  <si>
    <t xml:space="preserve"> No Cleanout Pipe(s)</t>
  </si>
  <si>
    <t xml:space="preserve">Surface Area: </t>
  </si>
  <si>
    <r>
      <t>ft</t>
    </r>
    <r>
      <rPr>
        <vertAlign val="superscript"/>
        <sz val="10"/>
        <color theme="1"/>
        <rFont val="Calibri"/>
        <family val="2"/>
        <scheme val="minor"/>
      </rPr>
      <t>2</t>
    </r>
  </si>
  <si>
    <t>Stage-Area-Storage Summary</t>
  </si>
  <si>
    <t>The maximum recommended drainage area is 5.0 acres, but 0.5 to 2.0 acres is preferred;</t>
  </si>
  <si>
    <t>Seasonally high-water table shall be greater than 6-feet below the surface;</t>
  </si>
  <si>
    <t>Bio retention areas shall be located in areas where the slope is 5% or less;</t>
  </si>
  <si>
    <t>Preferred in-situ soils shall be hydrologic soil group A or B;</t>
  </si>
  <si>
    <t>g.</t>
  </si>
  <si>
    <t>If internal water storage is provided, internal water storage shall drain within 4 days;</t>
  </si>
  <si>
    <t>h.</t>
  </si>
  <si>
    <t>i.</t>
  </si>
  <si>
    <t>The maintenance plan shall address the following:</t>
  </si>
  <si>
    <t>Mulching</t>
  </si>
  <si>
    <t>Re-planting</t>
  </si>
  <si>
    <t>Weeding</t>
  </si>
  <si>
    <t>Routine inspections</t>
  </si>
  <si>
    <t>Storm event inspections</t>
  </si>
  <si>
    <t>Fertilization</t>
  </si>
  <si>
    <t>Unclogging underdrain pipes</t>
  </si>
  <si>
    <t>Pruning</t>
  </si>
  <si>
    <t>Sediment removal</t>
  </si>
  <si>
    <t>Trash removal</t>
  </si>
  <si>
    <t>Mulch removal from outlets</t>
  </si>
  <si>
    <t>j.</t>
  </si>
  <si>
    <t>k.</t>
  </si>
  <si>
    <t xml:space="preserve"> Field Test Performed: </t>
  </si>
  <si>
    <t xml:space="preserve">Bottom EL: </t>
  </si>
  <si>
    <t xml:space="preserve">Top EL: </t>
  </si>
  <si>
    <t>Drain Time</t>
  </si>
  <si>
    <t xml:space="preserve">Int. Water Storage: </t>
  </si>
  <si>
    <t xml:space="preserve">Ponded Water: </t>
  </si>
  <si>
    <t xml:space="preserve"> No Outflow Structure</t>
  </si>
  <si>
    <t xml:space="preserve"> No Overflow Structure</t>
  </si>
  <si>
    <t>Use the as-built survey data to complete Form 3D – Bioretention Area As-built Certification Form;</t>
  </si>
  <si>
    <t>Perform a field survey of the constructed bioretention area; and,</t>
  </si>
  <si>
    <t>General overview of the bioretention area</t>
  </si>
  <si>
    <t>Pipes that discharge into the bioretention area</t>
  </si>
  <si>
    <t>Location where the bioretention area discharges into receiving stream, culvert, or channel</t>
  </si>
  <si>
    <t>Revision Date:</t>
  </si>
  <si>
    <t>Page 1 of 4</t>
  </si>
  <si>
    <t>Page 4 of 4</t>
  </si>
  <si>
    <t>Page 3 of 4</t>
  </si>
  <si>
    <t>Page 2 of 4</t>
  </si>
  <si>
    <t>Bioretention Area:</t>
  </si>
  <si>
    <t xml:space="preserve">Discharge Summary: </t>
  </si>
  <si>
    <t>Land slope exceeds the recommended 5% maximum</t>
  </si>
  <si>
    <t>Drain time exceeds the recommended 12 hours</t>
  </si>
  <si>
    <t>Drainage Area:</t>
  </si>
  <si>
    <t>Land Slope:</t>
  </si>
  <si>
    <t>Internal Water Storage:</t>
  </si>
  <si>
    <t>Ponded Water:</t>
  </si>
  <si>
    <t>Drainage area exceeds the recommended 5.0 acre maximum</t>
  </si>
  <si>
    <t>Bioretention Area In Q:</t>
  </si>
  <si>
    <t>Jefferson</t>
  </si>
  <si>
    <t>Velocity
(ft/s)</t>
  </si>
  <si>
    <t>Velocity:</t>
  </si>
  <si>
    <t>Effective Date:</t>
  </si>
  <si>
    <t>1 February 2020</t>
  </si>
  <si>
    <t>1 October 2020</t>
  </si>
  <si>
    <t>1 October 2015</t>
  </si>
  <si>
    <t>1 July 2018</t>
  </si>
  <si>
    <t>Type:</t>
  </si>
  <si>
    <t>City</t>
  </si>
  <si>
    <t>County</t>
  </si>
  <si>
    <t>Maintenance Agreement:</t>
  </si>
  <si>
    <t xml:space="preserve"> Covenant</t>
  </si>
  <si>
    <t>Entity Type:</t>
  </si>
  <si>
    <t>Velocity</t>
  </si>
  <si>
    <t>Provides the required water quality volume (WQv);</t>
  </si>
  <si>
    <t>Will not adversley impact and/or cause flooding of structures within the development and downstream of the development;</t>
  </si>
  <si>
    <t>Drainage areas shown in the hydrology and hydraulic (H&amp;H) calculations drain into the underground detention system; and,</t>
  </si>
  <si>
    <t xml:space="preserve">Post-development runoff mimics pre-development hydrology to the maximum extent practicable (MEP). </t>
  </si>
  <si>
    <t>By affixing my professional seal and signature on this form, I hereby certify that the bioretention area:</t>
  </si>
  <si>
    <t>Printing the form may require some adjustments to the print settings for the printer being used.</t>
  </si>
  <si>
    <t>Home Owners Association (HOA) Information</t>
  </si>
  <si>
    <t>By affixing my professional seal and signature on this form, I hereby certify that the bioretention area has been constructed in accordance with the approved design.  I further certify that the drainage areas shown in the approved hydrology and hydraulic (H&amp;H) calculations do in fact drain into the bioretention area and that the post-development runoff mimics pre-development hydrology to the maximum extent practicable (MEP).</t>
  </si>
  <si>
    <t>The calculation methodology shall utilize the National Resource Conservation Resources (NRCS) Urban</t>
  </si>
  <si>
    <t>All applicable developments shall be responsible for ensuring that post-development hydrology mimics pre-</t>
  </si>
  <si>
    <t>The bioretention area shall allow the volume of stormwater associated with the WQv to drain slowly from the</t>
  </si>
  <si>
    <t>bioretention area within a 48-hour period;</t>
  </si>
  <si>
    <t>event without allowing any discharge from the emergency spillway;</t>
  </si>
  <si>
    <t>resulting from a 100-year, 24-hour storm event.  A minimum freeboard of 1-foot above the maximum stage</t>
  </si>
  <si>
    <t>anticipated to prevent overtopping;</t>
  </si>
  <si>
    <t>drainage areas, time of concentration, curve number, pre-development peak discharges, post-development peak</t>
  </si>
  <si>
    <t>discharges, outlet structure geometry, emergency spillway geometry, pond stage-area-storage summary, pond</t>
  </si>
  <si>
    <t>discharge summary, inflow and outflow hydrographs, and outlet pipe velocities.</t>
  </si>
  <si>
    <t>The latest version of the Alabama Low Impact Development Handbook for the State of Alabama is incorporated</t>
  </si>
  <si>
    <t>by reference; and,</t>
  </si>
  <si>
    <t>Biroretention areas shall be designed in accordance with the Alabama Low Impact Development Handbook for the</t>
  </si>
  <si>
    <t>State of Alabama.  Applicable design requirements include but are not limited to the following.</t>
  </si>
  <si>
    <t>A minimum of 200 square fee footprint is recommended or approximately 5% to 8% of the contributing</t>
  </si>
  <si>
    <t>impervious area;</t>
  </si>
  <si>
    <t>Ponded water shall drain within 12 hours, and stormwater shall infiltrate the bioretention cell to 2-feet</t>
  </si>
  <si>
    <t>below the surface within 48 hours;</t>
  </si>
  <si>
    <t>Components of the bioretention area may include a pretreatment device, bioretention area, overflow</t>
  </si>
  <si>
    <t>structure, underdrain, cleanout pipes, and internal water storage; and,</t>
  </si>
  <si>
    <t xml:space="preserve">The vegetation plan shall address plant types, plant sizes, plant establishement, lime and fertilizer, </t>
  </si>
  <si>
    <t>and plant spacing.</t>
  </si>
  <si>
    <t>Site features to include but not limited to roads, rights-of-way, property lines, driveways, buildings, parking</t>
  </si>
  <si>
    <t>areas, fences, retaining walls, dumpster pads, etc.</t>
  </si>
  <si>
    <t>Location of the bioretention area, contours, spot elevations, outlet structure, outlet pipe, emergency</t>
  </si>
  <si>
    <t>spillway, and outlet protection</t>
  </si>
  <si>
    <t>Current Logo</t>
  </si>
  <si>
    <t>This is a required field.  Once a number or text is entered, the green highlight will be removed.</t>
  </si>
  <si>
    <t>Elevation:</t>
  </si>
  <si>
    <t>Max Elev.
(ft)</t>
  </si>
  <si>
    <t xml:space="preserve">City: </t>
  </si>
  <si>
    <t>Comments?</t>
  </si>
  <si>
    <t>Engineering or Building No.:</t>
  </si>
  <si>
    <t>Permit Type:</t>
  </si>
  <si>
    <t>Engineering or Building No.</t>
  </si>
  <si>
    <t>Max Velocity:</t>
  </si>
  <si>
    <t>Drain time exceeds the recommended 96 hours</t>
  </si>
  <si>
    <t>Max Velocity</t>
  </si>
  <si>
    <t>Lookup Table</t>
  </si>
  <si>
    <t>E. Spillway Yes/No</t>
  </si>
  <si>
    <t>Emerg Spillway Yes/No</t>
  </si>
  <si>
    <t>Complete Design Form with the required design information.  Once the Design Form is completed, most of the Design section of the As-built Form will be prepopulated.</t>
  </si>
  <si>
    <t>Use the drop down list to select an orifice or weir.</t>
  </si>
  <si>
    <t xml:space="preserve">Weir: </t>
  </si>
  <si>
    <t>Rainfall depths were obtained from NOAA Atlas 14, Volume 9, Version 2.</t>
  </si>
  <si>
    <t xml:space="preserve">Insp Report Due: </t>
  </si>
  <si>
    <t>30 Septbember</t>
  </si>
  <si>
    <t>1 September</t>
  </si>
  <si>
    <t>Insp Report Due:</t>
  </si>
  <si>
    <t xml:space="preserve">Seal: </t>
  </si>
  <si>
    <t>A bioretention area shall not be located within a floodplain or floodway;</t>
  </si>
  <si>
    <t>Installation of a bioretention area shall not adversely impact and/or cause flooding of properties</t>
  </si>
  <si>
    <t>located within, upstream, and/or downstream of the development;</t>
  </si>
  <si>
    <t>A stormwater pathway (i.e. piped storm sewer, overland flow, etc.) within the development shall</t>
  </si>
  <si>
    <t>be provided to convey the discharge resulting from a 100-year, 24-hour storm event in a manner that</t>
  </si>
  <si>
    <t>will not adversely impact and/or cause flooding of structures within the development;</t>
  </si>
  <si>
    <t>The principal spillway for a bioretention area shall be sized to convey the 25-year, 24-hour storm</t>
  </si>
  <si>
    <t>Each bioretention area shall provide for an emergency spillway designed to convey the discharge</t>
  </si>
  <si>
    <t>H&amp;H studies for a bioretention area shall include model network, existing drainage areas, proposed</t>
  </si>
  <si>
    <t>ENG No.</t>
  </si>
  <si>
    <t>Arch</t>
  </si>
  <si>
    <t>Elliptical</t>
  </si>
  <si>
    <t>V-notch</t>
  </si>
  <si>
    <t>(50-yr)</t>
  </si>
  <si>
    <t>Storms:</t>
  </si>
  <si>
    <t>2, 5, 10, and 25</t>
  </si>
  <si>
    <t>2, 5, 10, 25, 50, and 100</t>
  </si>
  <si>
    <r>
      <t>Total Post Q is &lt; -0.50 ft</t>
    </r>
    <r>
      <rPr>
        <vertAlign val="superscript"/>
        <sz val="10.8"/>
        <color theme="1"/>
        <rFont val="Calibri"/>
        <family val="2"/>
      </rPr>
      <t>3</t>
    </r>
    <r>
      <rPr>
        <sz val="11"/>
        <color theme="1"/>
        <rFont val="Calibri"/>
        <family val="2"/>
        <scheme val="minor"/>
      </rPr>
      <t>/s of Pre Q</t>
    </r>
  </si>
  <si>
    <r>
      <t>Peak Discharge (ft</t>
    </r>
    <r>
      <rPr>
        <vertAlign val="superscript"/>
        <sz val="8"/>
        <color theme="1"/>
        <rFont val="Calibri"/>
        <family val="2"/>
      </rPr>
      <t>3</t>
    </r>
    <r>
      <rPr>
        <sz val="10"/>
        <color theme="1"/>
        <rFont val="Calibri"/>
        <family val="2"/>
        <scheme val="minor"/>
      </rPr>
      <t>/s)</t>
    </r>
  </si>
  <si>
    <t xml:space="preserve">Mass Grading? </t>
  </si>
  <si>
    <t xml:space="preserve">Structural fill? </t>
  </si>
  <si>
    <t>Design Questions</t>
  </si>
  <si>
    <t>Gas easement?</t>
  </si>
  <si>
    <t xml:space="preserve">Supporting Documents Attached?  </t>
  </si>
  <si>
    <t>Power easement?</t>
  </si>
  <si>
    <t>Sanitary sewer easement?</t>
  </si>
  <si>
    <t>Water easement?</t>
  </si>
  <si>
    <t>Telecommunications easement?</t>
  </si>
  <si>
    <t>Railroad rights-of-way?</t>
  </si>
  <si>
    <t>ALDOT rights-of-way?</t>
  </si>
  <si>
    <t>Streams and/or wetlands?</t>
  </si>
  <si>
    <t>Floodplain?</t>
  </si>
  <si>
    <t>Other?</t>
  </si>
  <si>
    <t>Does the bioretention area discharge into an existing storm sewer (i.e. pipe, concrete swale, etc.)?</t>
  </si>
  <si>
    <t>Flooding</t>
  </si>
  <si>
    <t>The Master Plan shall include the following information:</t>
  </si>
  <si>
    <t>Property boundaries</t>
  </si>
  <si>
    <t>Conceptual lot layout by use type (i.e. residential, commercial, open space, etc.)</t>
  </si>
  <si>
    <t>Proposed roads</t>
  </si>
  <si>
    <t xml:space="preserve"> Master Plan</t>
  </si>
  <si>
    <t xml:space="preserve">Select Development Type: </t>
  </si>
  <si>
    <t xml:space="preserve"> Residential</t>
  </si>
  <si>
    <t xml:space="preserve">Number of Phases: </t>
  </si>
  <si>
    <t xml:space="preserve"> Final Plat</t>
  </si>
  <si>
    <t xml:space="preserve"> Commercial</t>
  </si>
  <si>
    <t xml:space="preserve">Number of Lots: </t>
  </si>
  <si>
    <t xml:space="preserve">Select Units: </t>
  </si>
  <si>
    <t xml:space="preserve"> ac</t>
  </si>
  <si>
    <t xml:space="preserve"> sq-ft</t>
  </si>
  <si>
    <t>Will all Phases or Lots be a member of the association?</t>
  </si>
  <si>
    <t>Imp. Area</t>
  </si>
  <si>
    <t xml:space="preserve">   Discharges to Pond?</t>
  </si>
  <si>
    <t>Pond</t>
  </si>
  <si>
    <t xml:space="preserve">Total: </t>
  </si>
  <si>
    <t>Page 1 of 2</t>
  </si>
  <si>
    <t>Page 2 of 2</t>
  </si>
  <si>
    <t>Will the bioretention area be maintained by an association?</t>
  </si>
  <si>
    <t>Is the bioretention area located on a separate lot?</t>
  </si>
  <si>
    <t>By affixing my professional seal and signature on this form, I hereby certify that the proposed bioretention area was</t>
  </si>
  <si>
    <t>designed to accommodate the Phases and/or Lots included in this attachment.</t>
  </si>
  <si>
    <t>Location of bioretention area</t>
  </si>
  <si>
    <t>Emerg. Spillway</t>
  </si>
  <si>
    <t>Have post-construction CNs been adjusted to account for mass grading?</t>
  </si>
  <si>
    <t>Total</t>
  </si>
  <si>
    <t>Does the project drain to an area of known flooding?</t>
  </si>
  <si>
    <t xml:space="preserve">Does the project drain onto an adjacent property? </t>
  </si>
  <si>
    <t>Adj. Property</t>
  </si>
  <si>
    <t>Will future development phases discharge into the bioretention area?  Complete Form 2D.2.</t>
  </si>
  <si>
    <t xml:space="preserve">Design Form Date: </t>
  </si>
  <si>
    <t>31 December</t>
  </si>
  <si>
    <t>As-Built does not match Design, provide a reson in the Comments section</t>
  </si>
  <si>
    <r>
      <t>Photographs</t>
    </r>
    <r>
      <rPr>
        <sz val="10"/>
        <color theme="1"/>
        <rFont val="Calibri"/>
        <family val="2"/>
        <scheme val="minor"/>
      </rPr>
      <t xml:space="preserve"> </t>
    </r>
  </si>
  <si>
    <t>*Photographs shall be taken during construction of the underground detention system</t>
  </si>
  <si>
    <t>Caption, date, and/or description on all photographs</t>
  </si>
  <si>
    <t>No. Taken</t>
  </si>
  <si>
    <t>Date</t>
  </si>
  <si>
    <t>Outlet control structure</t>
  </si>
  <si>
    <t>Outfall to receiving stream / storm sewer</t>
  </si>
  <si>
    <t>*Stone layer</t>
  </si>
  <si>
    <t>*Bioretention medial layer</t>
  </si>
  <si>
    <t>*Mulch layer</t>
  </si>
  <si>
    <t>General overview of vegetation</t>
  </si>
  <si>
    <t>*Underdrain pipe(s)</t>
  </si>
  <si>
    <t>*Overflow structure</t>
  </si>
  <si>
    <t>Automated Review Checks (continued)</t>
  </si>
  <si>
    <t>Page 1 of 5</t>
  </si>
  <si>
    <t>Page 2 of 5</t>
  </si>
  <si>
    <t>Page 3 of 5</t>
  </si>
  <si>
    <t>Page 4 of 5</t>
  </si>
  <si>
    <t>Page 5 of 5</t>
  </si>
  <si>
    <t>All required photographs are not provided</t>
  </si>
  <si>
    <t>Photographs:</t>
  </si>
  <si>
    <t xml:space="preserve">Contact Name: </t>
  </si>
  <si>
    <t>Form 2D.2 - Bioretention Area Design Form Attachment is attached?</t>
  </si>
  <si>
    <t>Will any components of the bioretention area be constructed or impact any of the following?</t>
  </si>
  <si>
    <t>Form 2D.2 - Bioretention Area
Design Form Attachment</t>
  </si>
  <si>
    <t>No. Storms:</t>
  </si>
  <si>
    <t>Known Flooding Req:</t>
  </si>
  <si>
    <t>T-shape</t>
  </si>
  <si>
    <t>Proposed</t>
  </si>
  <si>
    <t>Existing</t>
  </si>
  <si>
    <t>2.</t>
  </si>
  <si>
    <t>If a phase or lot has already been constructed, enter the amount of impervious area in the Existing Imp. Area column.</t>
  </si>
  <si>
    <t>Known Flooding Storm:</t>
  </si>
  <si>
    <t>Adj Property Req:</t>
  </si>
  <si>
    <t>Adj Property Storm:</t>
  </si>
  <si>
    <t>Req?</t>
  </si>
  <si>
    <t>Storm</t>
  </si>
  <si>
    <t>Q Lookup</t>
  </si>
  <si>
    <t>Property</t>
  </si>
  <si>
    <t>Pre Q Lookup Table</t>
  </si>
  <si>
    <t>Design Questions (continued)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</si>
</sst>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409]d\-mmm\-yy;@"/>
    <numFmt numFmtId="165" formatCode="0.000000"/>
    <numFmt numFmtId="166" formatCode="0."/>
    <numFmt numFmtId="167" formatCode="#,##0.000000"/>
    <numFmt numFmtId="168" formatCode="[$-409]d\ mmmm\ yyyy;@"/>
    <numFmt numFmtId="169" formatCode="[$-409]dd\ mmmm\ yyyy;@"/>
    <numFmt numFmtId="170" formatCode="[&lt;=9999999]###\-####;\(###\)\ ###\-####"/>
    <numFmt numFmtId="171" formatCode="\-0.000000"/>
    <numFmt numFmtId="172" formatCode="\-#,##0.000000"/>
    <numFmt numFmtId="173" formatCode="#,##0.000"/>
    <numFmt numFmtId="174" formatCode="[$-409]mmmm\ d\,\ yyyy;@"/>
  </numFmts>
  <fonts count="31" x14ac:knownFonts="1">
    <font>
      <sz val="11"/>
      <color theme="1"/>
      <name val="Calibri"/>
      <family val="2"/>
      <scheme val="minor"/>
    </font>
    <font>
      <b/>
      <u/>
      <sz val="12"/>
      <color theme="1"/>
      <name val="Calibri"/>
      <family val="2"/>
      <scheme val="minor"/>
    </font>
    <font>
      <b/>
      <sz val="18"/>
      <color theme="1"/>
      <name val="Calibri"/>
      <family val="2"/>
      <scheme val="minor"/>
    </font>
    <font>
      <sz val="10"/>
      <color theme="1"/>
      <name val="Calibri"/>
      <family val="2"/>
      <scheme val="minor"/>
    </font>
    <font>
      <vertAlign val="subscript"/>
      <sz val="10"/>
      <color theme="1"/>
      <name val="Calibri"/>
      <family val="2"/>
    </font>
    <font>
      <b/>
      <sz val="10"/>
      <color theme="1"/>
      <name val="Calibri"/>
      <family val="2"/>
      <scheme val="minor"/>
    </font>
    <font>
      <vertAlign val="superscript"/>
      <sz val="10"/>
      <color theme="1"/>
      <name val="Calibri"/>
      <family val="2"/>
    </font>
    <font>
      <vertAlign val="superscript"/>
      <sz val="8"/>
      <color theme="1"/>
      <name val="Calibri"/>
      <family val="2"/>
    </font>
    <font>
      <u/>
      <sz val="10"/>
      <color theme="1"/>
      <name val="Calibri"/>
      <family val="2"/>
      <scheme val="minor"/>
    </font>
    <font>
      <b/>
      <sz val="12"/>
      <color theme="1"/>
      <name val="Calibri"/>
      <family val="2"/>
      <scheme val="minor"/>
    </font>
    <font>
      <vertAlign val="subscript"/>
      <sz val="15"/>
      <color theme="1"/>
      <name val="Calibri"/>
      <family val="2"/>
    </font>
    <font>
      <u/>
      <sz val="11"/>
      <color theme="10"/>
      <name val="Calibri"/>
      <family val="2"/>
      <scheme val="minor"/>
    </font>
    <font>
      <b/>
      <u/>
      <sz val="10"/>
      <color theme="1"/>
      <name val="Calibri"/>
      <family val="2"/>
      <scheme val="minor"/>
    </font>
    <font>
      <vertAlign val="subscript"/>
      <sz val="11"/>
      <color theme="1"/>
      <name val="Calibri"/>
      <family val="2"/>
      <scheme val="minor"/>
    </font>
    <font>
      <b/>
      <u/>
      <sz val="16"/>
      <color theme="1"/>
      <name val="Calibri"/>
      <family val="2"/>
      <scheme val="minor"/>
    </font>
    <font>
      <sz val="12"/>
      <color theme="1"/>
      <name val="Calibri"/>
      <family val="2"/>
      <scheme val="minor"/>
    </font>
    <font>
      <u/>
      <sz val="12"/>
      <color theme="1"/>
      <name val="Calibri"/>
      <family val="2"/>
      <scheme val="minor"/>
    </font>
    <font>
      <sz val="11"/>
      <color theme="1"/>
      <name val="Calibri"/>
      <family val="2"/>
    </font>
    <font>
      <sz val="9"/>
      <color theme="1"/>
      <name val="Calibri"/>
      <family val="2"/>
      <scheme val="minor"/>
    </font>
    <font>
      <vertAlign val="superscript"/>
      <sz val="9"/>
      <color theme="1"/>
      <name val="Calibri"/>
      <family val="2"/>
    </font>
    <font>
      <vertAlign val="subscript"/>
      <sz val="10"/>
      <color theme="1"/>
      <name val="Calibri"/>
      <family val="2"/>
      <scheme val="minor"/>
    </font>
    <font>
      <u/>
      <sz val="10"/>
      <color theme="10"/>
      <name val="Calibri"/>
      <family val="2"/>
      <scheme val="minor"/>
    </font>
    <font>
      <sz val="14"/>
      <color theme="1"/>
      <name val="Calibri"/>
      <family val="2"/>
      <scheme val="minor"/>
    </font>
    <font>
      <vertAlign val="superscript"/>
      <sz val="10"/>
      <color theme="1"/>
      <name val="Calibri"/>
      <family val="2"/>
      <scheme val="minor"/>
    </font>
    <font>
      <sz val="8"/>
      <name val="Calibri"/>
      <family val="2"/>
      <scheme val="minor"/>
    </font>
    <font>
      <sz val="10"/>
      <color theme="1"/>
      <name val="Calibri"/>
      <family val="2"/>
    </font>
    <font>
      <sz val="9"/>
      <color indexed="81"/>
      <name val="Tahoma"/>
      <family val="2"/>
    </font>
    <font>
      <b/>
      <sz val="9"/>
      <color indexed="81"/>
      <name val="Tahoma"/>
      <family val="2"/>
    </font>
    <font>
      <vertAlign val="superscript"/>
      <sz val="10.8"/>
      <color theme="1"/>
      <name val="Calibri"/>
      <family val="2"/>
    </font>
    <font>
      <b/>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7" tint="0.59996337778862885"/>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rgb="FFFFFFCC"/>
        <bgColor indexed="64"/>
      </patternFill>
    </fill>
  </fills>
  <borders count="1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style="medium">
        <color auto="1"/>
      </right>
      <top/>
      <bottom/>
      <diagonal/>
    </border>
    <border>
      <left style="thin">
        <color indexed="64"/>
      </left>
      <right style="thin">
        <color indexed="64"/>
      </right>
      <top/>
      <bottom style="thin">
        <color indexed="64"/>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applyNumberFormat="0" applyFill="0" applyBorder="0" applyAlignment="0" applyProtection="0"/>
    <xf numFmtId="9" fontId="30" fillId="0" borderId="0" applyFont="0" applyFill="0" applyBorder="0" applyAlignment="0" applyProtection="0"/>
  </cellStyleXfs>
  <cellXfs count="245">
    <xf numFmtId="0" fontId="0" fillId="0" borderId="0" xfId="0"/>
    <xf numFmtId="0" fontId="1"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wrapText="1"/>
    </xf>
    <xf numFmtId="0" fontId="3" fillId="0" borderId="0" xfId="0" applyFont="1" applyAlignment="1">
      <alignment horizontal="center" vertical="center"/>
    </xf>
    <xf numFmtId="0" fontId="9" fillId="0" borderId="0" xfId="0" applyFont="1" applyAlignment="1">
      <alignment vertical="center"/>
    </xf>
    <xf numFmtId="4" fontId="3" fillId="0" borderId="0" xfId="0" applyNumberFormat="1" applyFont="1" applyAlignment="1" applyProtection="1">
      <alignment vertical="center"/>
      <protection hidden="1"/>
    </xf>
    <xf numFmtId="3" fontId="3" fillId="0" borderId="0" xfId="0" applyNumberFormat="1" applyFont="1" applyAlignment="1" applyProtection="1">
      <alignment vertical="center"/>
      <protection hidden="1"/>
    </xf>
    <xf numFmtId="0" fontId="3" fillId="4" borderId="0" xfId="0" applyFont="1" applyFill="1" applyAlignment="1">
      <alignment vertical="center"/>
    </xf>
    <xf numFmtId="0" fontId="3" fillId="4" borderId="0" xfId="0" applyFont="1" applyFill="1" applyAlignment="1">
      <alignment horizontal="right" vertical="center"/>
    </xf>
    <xf numFmtId="0" fontId="3" fillId="3" borderId="0" xfId="0" applyFont="1" applyFill="1" applyAlignment="1">
      <alignment vertical="center"/>
    </xf>
    <xf numFmtId="0" fontId="3" fillId="0" borderId="0" xfId="0" applyFont="1" applyAlignment="1">
      <alignment horizontal="left" vertical="center"/>
    </xf>
    <xf numFmtId="0" fontId="3" fillId="3" borderId="0" xfId="0" applyFont="1" applyFill="1" applyAlignment="1">
      <alignment horizontal="left" vertical="center"/>
    </xf>
    <xf numFmtId="0" fontId="3" fillId="6" borderId="0" xfId="0" applyFont="1" applyFill="1" applyAlignment="1">
      <alignment vertical="center"/>
    </xf>
    <xf numFmtId="166" fontId="15" fillId="0" borderId="0" xfId="0" applyNumberFormat="1" applyFont="1" applyAlignment="1">
      <alignment horizontal="center" vertical="center"/>
    </xf>
    <xf numFmtId="0" fontId="15" fillId="0" borderId="0" xfId="0" applyFont="1" applyAlignment="1">
      <alignment vertical="center"/>
    </xf>
    <xf numFmtId="0" fontId="15" fillId="0" borderId="1" xfId="0" applyFont="1" applyBorder="1" applyAlignment="1">
      <alignment horizontal="center" vertical="center"/>
    </xf>
    <xf numFmtId="4" fontId="15" fillId="0" borderId="1" xfId="0" applyNumberFormat="1" applyFont="1" applyBorder="1" applyAlignment="1">
      <alignment vertical="center"/>
    </xf>
    <xf numFmtId="0" fontId="16" fillId="2" borderId="1" xfId="0" applyFont="1" applyFill="1" applyBorder="1" applyAlignment="1">
      <alignment vertical="center"/>
    </xf>
    <xf numFmtId="0" fontId="15" fillId="5" borderId="1" xfId="0" applyFont="1" applyFill="1" applyBorder="1" applyAlignment="1">
      <alignment vertical="center"/>
    </xf>
    <xf numFmtId="0" fontId="9" fillId="0" borderId="0" xfId="0" applyFont="1" applyAlignment="1">
      <alignment horizontal="left" vertical="center"/>
    </xf>
    <xf numFmtId="0" fontId="3" fillId="0" borderId="11"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6" borderId="0" xfId="0" applyFont="1" applyFill="1" applyAlignment="1">
      <alignment horizontal="center" vertical="center"/>
    </xf>
    <xf numFmtId="166" fontId="3" fillId="0" borderId="0" xfId="0" applyNumberFormat="1"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wrapText="1"/>
    </xf>
    <xf numFmtId="0" fontId="3" fillId="3" borderId="5" xfId="0" applyFont="1" applyFill="1" applyBorder="1" applyAlignment="1">
      <alignment vertical="center"/>
    </xf>
    <xf numFmtId="0" fontId="1" fillId="3" borderId="3" xfId="0" applyFont="1" applyFill="1" applyBorder="1" applyAlignment="1">
      <alignment vertical="center"/>
    </xf>
    <xf numFmtId="0" fontId="3" fillId="3" borderId="3"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0" xfId="0" applyFont="1" applyFill="1" applyAlignment="1">
      <alignment horizontal="right" vertical="center"/>
    </xf>
    <xf numFmtId="0" fontId="3" fillId="3" borderId="8" xfId="0" applyFont="1" applyFill="1" applyBorder="1" applyAlignment="1">
      <alignment vertical="center"/>
    </xf>
    <xf numFmtId="0" fontId="3" fillId="3" borderId="11" xfId="0" applyFont="1" applyFill="1" applyBorder="1" applyAlignment="1">
      <alignment vertical="center"/>
    </xf>
    <xf numFmtId="166" fontId="0" fillId="0" borderId="0" xfId="0" applyNumberFormat="1" applyAlignment="1">
      <alignment horizontal="center" vertical="center"/>
    </xf>
    <xf numFmtId="0" fontId="0" fillId="0" borderId="0" xfId="0"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0" borderId="0" xfId="0" applyFont="1" applyAlignment="1">
      <alignment vertical="center"/>
    </xf>
    <xf numFmtId="2" fontId="3" fillId="0" borderId="0" xfId="0" applyNumberFormat="1" applyFont="1" applyAlignment="1">
      <alignment horizontal="right" vertical="center"/>
    </xf>
    <xf numFmtId="2" fontId="3" fillId="0" borderId="0" xfId="0" applyNumberFormat="1" applyFont="1" applyAlignment="1">
      <alignment vertical="center"/>
    </xf>
    <xf numFmtId="0" fontId="3" fillId="0" borderId="0" xfId="0" applyFont="1" applyAlignment="1">
      <alignment horizontal="right"/>
    </xf>
    <xf numFmtId="0" fontId="12" fillId="0" borderId="0" xfId="0" applyFont="1" applyAlignment="1">
      <alignment vertical="center"/>
    </xf>
    <xf numFmtId="165" fontId="3" fillId="0" borderId="0" xfId="0" applyNumberFormat="1" applyFont="1" applyAlignment="1">
      <alignment vertical="center"/>
    </xf>
    <xf numFmtId="3" fontId="3"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horizontal="right" vertical="center" indent="1"/>
    </xf>
    <xf numFmtId="3" fontId="3" fillId="0" borderId="0" xfId="0" applyNumberFormat="1" applyFont="1" applyAlignment="1">
      <alignment horizontal="right" vertical="center"/>
    </xf>
    <xf numFmtId="0" fontId="18" fillId="0" borderId="0" xfId="0" applyFont="1" applyAlignment="1">
      <alignment horizontal="center" vertical="center" wrapText="1"/>
    </xf>
    <xf numFmtId="0" fontId="11" fillId="0" borderId="0" xfId="1" applyBorder="1" applyAlignment="1" applyProtection="1">
      <alignment horizontal="left" vertical="center"/>
    </xf>
    <xf numFmtId="0" fontId="5" fillId="4" borderId="5" xfId="0" applyFont="1" applyFill="1" applyBorder="1" applyAlignment="1">
      <alignment vertical="center"/>
    </xf>
    <xf numFmtId="0" fontId="3" fillId="4" borderId="3" xfId="0" applyFont="1" applyFill="1" applyBorder="1" applyAlignment="1">
      <alignment vertical="center"/>
    </xf>
    <xf numFmtId="0" fontId="3" fillId="4" borderId="6" xfId="0" applyFont="1" applyFill="1" applyBorder="1" applyAlignment="1">
      <alignment vertical="center"/>
    </xf>
    <xf numFmtId="0" fontId="3" fillId="4" borderId="7" xfId="0" applyFont="1" applyFill="1" applyBorder="1" applyAlignment="1">
      <alignment vertical="center"/>
    </xf>
    <xf numFmtId="0" fontId="12" fillId="4" borderId="0" xfId="0" applyFont="1" applyFill="1" applyAlignment="1">
      <alignment horizontal="right" vertical="center"/>
    </xf>
    <xf numFmtId="0" fontId="12" fillId="4" borderId="0" xfId="0" applyFont="1" applyFill="1" applyAlignment="1">
      <alignment vertical="center"/>
    </xf>
    <xf numFmtId="0" fontId="3" fillId="4" borderId="8" xfId="0" applyFont="1" applyFill="1" applyBorder="1" applyAlignment="1">
      <alignment vertical="center"/>
    </xf>
    <xf numFmtId="0" fontId="3" fillId="4" borderId="9"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lignment horizontal="right" vertical="center"/>
    </xf>
    <xf numFmtId="0" fontId="3" fillId="4" borderId="10" xfId="0" applyFont="1" applyFill="1" applyBorder="1" applyAlignment="1">
      <alignment vertical="center"/>
    </xf>
    <xf numFmtId="166" fontId="14" fillId="0" borderId="0" xfId="0" applyNumberFormat="1" applyFont="1" applyAlignment="1">
      <alignment vertical="center"/>
    </xf>
    <xf numFmtId="0" fontId="3" fillId="6" borderId="0" xfId="0" applyFont="1" applyFill="1" applyAlignment="1">
      <alignment horizontal="left" vertical="center"/>
    </xf>
    <xf numFmtId="0" fontId="15" fillId="0" borderId="0" xfId="0" applyFont="1" applyAlignment="1">
      <alignment horizontal="left" vertical="center" wrapText="1"/>
    </xf>
    <xf numFmtId="0" fontId="15" fillId="0" borderId="0" xfId="0" applyFont="1" applyAlignment="1">
      <alignment vertical="center" wrapText="1"/>
    </xf>
    <xf numFmtId="0" fontId="3" fillId="3" borderId="1" xfId="0" applyFont="1" applyFill="1" applyBorder="1" applyAlignment="1">
      <alignment vertical="center"/>
    </xf>
    <xf numFmtId="0" fontId="3" fillId="0" borderId="0" xfId="0" applyFont="1" applyAlignment="1">
      <alignment vertical="top" wrapText="1"/>
    </xf>
    <xf numFmtId="0" fontId="8" fillId="3" borderId="1" xfId="0" applyFont="1" applyFill="1" applyBorder="1" applyAlignment="1">
      <alignment vertical="center"/>
    </xf>
    <xf numFmtId="0" fontId="1" fillId="0" borderId="0" xfId="0" applyFont="1" applyAlignment="1">
      <alignment horizontal="left" vertical="center"/>
    </xf>
    <xf numFmtId="0" fontId="15" fillId="0" borderId="11" xfId="0" applyFont="1" applyBorder="1" applyAlignment="1" applyProtection="1">
      <alignment horizontal="center" vertical="center"/>
      <protection locked="0"/>
    </xf>
    <xf numFmtId="0" fontId="5" fillId="4" borderId="3" xfId="0" applyFont="1" applyFill="1" applyBorder="1" applyAlignment="1">
      <alignment vertical="center"/>
    </xf>
    <xf numFmtId="165" fontId="3" fillId="0" borderId="0" xfId="0" applyNumberFormat="1" applyFont="1" applyAlignment="1" applyProtection="1">
      <alignment vertical="center"/>
      <protection hidden="1"/>
    </xf>
    <xf numFmtId="0" fontId="3" fillId="3" borderId="1" xfId="0" applyFont="1" applyFill="1" applyBorder="1" applyAlignment="1">
      <alignment horizontal="right" vertical="center"/>
    </xf>
    <xf numFmtId="0" fontId="14" fillId="0" borderId="0" xfId="0" applyFont="1" applyAlignment="1">
      <alignment vertical="center"/>
    </xf>
    <xf numFmtId="0" fontId="17"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3" fillId="0" borderId="3" xfId="0" applyFont="1" applyBorder="1" applyAlignment="1">
      <alignment vertical="center"/>
    </xf>
    <xf numFmtId="0" fontId="11" fillId="0" borderId="0" xfId="1" applyBorder="1" applyAlignment="1" applyProtection="1">
      <alignment vertical="center"/>
    </xf>
    <xf numFmtId="166" fontId="3" fillId="0" borderId="0" xfId="0" applyNumberFormat="1" applyFont="1" applyAlignment="1">
      <alignment vertical="center"/>
    </xf>
    <xf numFmtId="0" fontId="8" fillId="3" borderId="0" xfId="0" applyFont="1" applyFill="1" applyAlignment="1">
      <alignment vertical="center"/>
    </xf>
    <xf numFmtId="0" fontId="2" fillId="6" borderId="0" xfId="0" applyFont="1" applyFill="1" applyAlignment="1">
      <alignment vertical="center" wrapText="1"/>
    </xf>
    <xf numFmtId="0" fontId="2" fillId="0" borderId="0" xfId="0" applyFont="1" applyAlignment="1">
      <alignment vertical="center"/>
    </xf>
    <xf numFmtId="0" fontId="3" fillId="3" borderId="11" xfId="0" applyFont="1" applyFill="1" applyBorder="1" applyAlignment="1">
      <alignment horizontal="center" vertical="center"/>
    </xf>
    <xf numFmtId="0" fontId="3" fillId="3" borderId="0" xfId="0" applyFont="1" applyFill="1" applyAlignment="1">
      <alignment horizontal="center" vertical="center"/>
    </xf>
    <xf numFmtId="0" fontId="3" fillId="6" borderId="0" xfId="0" applyFont="1" applyFill="1" applyAlignment="1">
      <alignment horizontal="right" vertical="center"/>
    </xf>
    <xf numFmtId="0" fontId="1" fillId="6" borderId="0" xfId="0" applyFont="1" applyFill="1" applyAlignment="1">
      <alignment vertical="center"/>
    </xf>
    <xf numFmtId="1" fontId="3" fillId="0" borderId="0" xfId="0" applyNumberFormat="1" applyFont="1" applyAlignment="1">
      <alignment vertical="center"/>
    </xf>
    <xf numFmtId="1" fontId="3" fillId="6" borderId="0" xfId="0" applyNumberFormat="1" applyFont="1" applyFill="1" applyAlignment="1">
      <alignment vertical="center"/>
    </xf>
    <xf numFmtId="3" fontId="3" fillId="0" borderId="3" xfId="0" applyNumberFormat="1" applyFont="1" applyBorder="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left" vertical="top" wrapText="1"/>
    </xf>
    <xf numFmtId="0" fontId="8" fillId="0" borderId="0" xfId="0" applyFont="1" applyAlignment="1">
      <alignment vertical="center"/>
    </xf>
    <xf numFmtId="0" fontId="22" fillId="3" borderId="11" xfId="0" applyFont="1" applyFill="1" applyBorder="1" applyAlignment="1">
      <alignment horizontal="center" vertical="center"/>
    </xf>
    <xf numFmtId="166" fontId="0" fillId="0" borderId="0" xfId="0" applyNumberFormat="1" applyAlignment="1">
      <alignment horizontal="center" vertical="top"/>
    </xf>
    <xf numFmtId="0" fontId="0" fillId="0" borderId="0" xfId="0" applyAlignment="1">
      <alignment horizontal="left" vertical="top" wrapText="1"/>
    </xf>
    <xf numFmtId="0" fontId="0" fillId="6" borderId="0" xfId="0" applyFill="1" applyAlignment="1">
      <alignment vertical="center"/>
    </xf>
    <xf numFmtId="0" fontId="3" fillId="0" borderId="3" xfId="0" applyFont="1" applyBorder="1" applyAlignment="1">
      <alignment horizontal="center" vertical="center"/>
    </xf>
    <xf numFmtId="0" fontId="0" fillId="0" borderId="0" xfId="0" applyAlignment="1">
      <alignment horizontal="center" vertical="top" wrapText="1"/>
    </xf>
    <xf numFmtId="0" fontId="3" fillId="0" borderId="13" xfId="0" applyFont="1" applyBorder="1" applyAlignment="1">
      <alignment vertical="center"/>
    </xf>
    <xf numFmtId="2" fontId="3" fillId="0" borderId="3" xfId="0" applyNumberFormat="1" applyFont="1" applyBorder="1" applyAlignment="1">
      <alignment horizontal="right" vertical="center"/>
    </xf>
    <xf numFmtId="0" fontId="0" fillId="0" borderId="0" xfId="0" applyAlignment="1">
      <alignment horizontal="right" vertical="center"/>
    </xf>
    <xf numFmtId="0" fontId="3" fillId="0" borderId="1" xfId="0" applyFont="1" applyBorder="1" applyAlignment="1">
      <alignment vertical="center"/>
    </xf>
    <xf numFmtId="0" fontId="3" fillId="4" borderId="0" xfId="0" applyFont="1" applyFill="1" applyAlignment="1">
      <alignment horizontal="left" vertical="center"/>
    </xf>
    <xf numFmtId="0" fontId="0" fillId="0" borderId="0" xfId="0" applyAlignment="1">
      <alignment horizontal="center"/>
    </xf>
    <xf numFmtId="2" fontId="0" fillId="0" borderId="0" xfId="0" applyNumberFormat="1"/>
    <xf numFmtId="2" fontId="0" fillId="0" borderId="0" xfId="0" applyNumberFormat="1" applyAlignment="1">
      <alignment vertical="center"/>
    </xf>
    <xf numFmtId="0" fontId="0" fillId="0" borderId="0" xfId="0" applyAlignment="1">
      <alignment horizontal="right"/>
    </xf>
    <xf numFmtId="0" fontId="0" fillId="7" borderId="12" xfId="0" applyFill="1" applyBorder="1"/>
    <xf numFmtId="169" fontId="0" fillId="0" borderId="0" xfId="0" quotePrefix="1" applyNumberFormat="1"/>
    <xf numFmtId="169" fontId="0" fillId="0" borderId="0" xfId="0" applyNumberFormat="1"/>
    <xf numFmtId="0" fontId="3" fillId="0" borderId="0" xfId="0" applyFont="1" applyAlignment="1">
      <alignment vertical="top"/>
    </xf>
    <xf numFmtId="0" fontId="3" fillId="0" borderId="0" xfId="0" applyFont="1" applyAlignment="1">
      <alignment vertical="center" wrapText="1"/>
    </xf>
    <xf numFmtId="168" fontId="0" fillId="7" borderId="12" xfId="0" applyNumberFormat="1" applyFill="1" applyBorder="1"/>
    <xf numFmtId="0" fontId="3" fillId="0" borderId="0" xfId="0" applyFont="1"/>
    <xf numFmtId="166" fontId="3" fillId="0" borderId="0" xfId="0" applyNumberFormat="1" applyFont="1" applyAlignment="1">
      <alignment horizontal="center" vertical="top"/>
    </xf>
    <xf numFmtId="166" fontId="3" fillId="0" borderId="0" xfId="0" applyNumberFormat="1" applyFont="1" applyAlignment="1">
      <alignment horizontal="left" vertical="top"/>
    </xf>
    <xf numFmtId="0" fontId="3" fillId="0" borderId="0" xfId="0" applyFont="1" applyAlignment="1">
      <alignment horizontal="center" vertical="top" wrapText="1"/>
    </xf>
    <xf numFmtId="0" fontId="25" fillId="0" borderId="0" xfId="0" applyFont="1" applyAlignment="1">
      <alignment horizontal="center" vertical="center"/>
    </xf>
    <xf numFmtId="0" fontId="3" fillId="6" borderId="11" xfId="0" applyFont="1" applyFill="1" applyBorder="1" applyAlignment="1">
      <alignment vertical="center"/>
    </xf>
    <xf numFmtId="0" fontId="3" fillId="6" borderId="11" xfId="0" applyFont="1" applyFill="1" applyBorder="1" applyAlignment="1">
      <alignment horizontal="center" vertical="center"/>
    </xf>
    <xf numFmtId="0" fontId="3" fillId="6" borderId="3" xfId="0" applyFont="1" applyFill="1" applyBorder="1" applyAlignment="1">
      <alignment horizontal="center" vertical="center"/>
    </xf>
    <xf numFmtId="0" fontId="9" fillId="6" borderId="0" xfId="0" applyFont="1" applyFill="1" applyAlignment="1">
      <alignment horizontal="center" vertical="center"/>
    </xf>
    <xf numFmtId="0" fontId="5" fillId="4" borderId="0" xfId="0" applyFont="1" applyFill="1" applyAlignment="1">
      <alignment horizontal="right" vertical="center"/>
    </xf>
    <xf numFmtId="3" fontId="3" fillId="6" borderId="11" xfId="0" applyNumberFormat="1" applyFont="1" applyFill="1" applyBorder="1" applyAlignment="1">
      <alignment horizontal="center" vertical="center"/>
    </xf>
    <xf numFmtId="1" fontId="3" fillId="6" borderId="11" xfId="0" applyNumberFormat="1" applyFont="1" applyFill="1" applyBorder="1" applyAlignment="1">
      <alignment horizontal="center" vertical="center"/>
    </xf>
    <xf numFmtId="2" fontId="3" fillId="6" borderId="11" xfId="0" applyNumberFormat="1" applyFont="1" applyFill="1" applyBorder="1" applyAlignment="1">
      <alignment horizontal="center" vertical="center"/>
    </xf>
    <xf numFmtId="0" fontId="9" fillId="6" borderId="0" xfId="0" applyFont="1" applyFill="1" applyAlignment="1">
      <alignment horizontal="right" vertical="center"/>
    </xf>
    <xf numFmtId="0" fontId="29" fillId="0" borderId="0" xfId="0" applyFont="1"/>
    <xf numFmtId="0" fontId="29" fillId="0" borderId="0" xfId="0" applyFont="1" applyAlignment="1">
      <alignment horizontal="center"/>
    </xf>
    <xf numFmtId="168" fontId="0" fillId="0" borderId="0" xfId="0" applyNumberFormat="1"/>
    <xf numFmtId="168" fontId="0" fillId="0" borderId="0" xfId="0" quotePrefix="1" applyNumberFormat="1"/>
    <xf numFmtId="0" fontId="3" fillId="0" borderId="3" xfId="0" applyFont="1" applyBorder="1" applyAlignment="1">
      <alignment horizontal="right" vertical="center"/>
    </xf>
    <xf numFmtId="0" fontId="15" fillId="0" borderId="11" xfId="0" applyFont="1" applyBorder="1" applyAlignment="1">
      <alignment horizontal="center" vertical="center"/>
    </xf>
    <xf numFmtId="0" fontId="3" fillId="6" borderId="2" xfId="0" applyFont="1" applyFill="1" applyBorder="1" applyAlignment="1">
      <alignment horizontal="center" vertical="center"/>
    </xf>
    <xf numFmtId="0" fontId="0" fillId="0" borderId="0" xfId="0" applyAlignment="1">
      <alignment vertical="center" wrapText="1"/>
    </xf>
    <xf numFmtId="166" fontId="0" fillId="0" borderId="0" xfId="0" applyNumberFormat="1" applyAlignment="1">
      <alignment vertical="center"/>
    </xf>
    <xf numFmtId="0" fontId="22" fillId="0" borderId="0" xfId="0" applyFont="1" applyAlignment="1">
      <alignment horizontal="center" vertical="center"/>
    </xf>
    <xf numFmtId="0" fontId="3" fillId="0" borderId="8" xfId="0" applyFont="1" applyBorder="1" applyAlignment="1">
      <alignment vertical="center"/>
    </xf>
    <xf numFmtId="166" fontId="3" fillId="0" borderId="0" xfId="0" applyNumberFormat="1" applyFont="1" applyAlignment="1">
      <alignment horizontal="left" vertical="center"/>
    </xf>
    <xf numFmtId="173" fontId="3" fillId="0" borderId="0" xfId="0" applyNumberFormat="1" applyFont="1" applyAlignment="1">
      <alignment horizontal="right" vertical="center"/>
    </xf>
    <xf numFmtId="0" fontId="15" fillId="0" borderId="0" xfId="0" applyFont="1" applyAlignment="1">
      <alignment horizontal="center" vertical="center"/>
    </xf>
    <xf numFmtId="0" fontId="3" fillId="6" borderId="14" xfId="0" applyFont="1" applyFill="1" applyBorder="1" applyAlignment="1">
      <alignment horizontal="center" vertical="center"/>
    </xf>
    <xf numFmtId="0" fontId="3" fillId="0" borderId="1" xfId="0" applyFont="1" applyBorder="1" applyAlignment="1">
      <alignment horizontal="right" vertical="center"/>
    </xf>
    <xf numFmtId="3" fontId="3" fillId="0" borderId="0" xfId="0" applyNumberFormat="1" applyFont="1" applyAlignment="1">
      <alignment horizontal="center" vertical="center"/>
    </xf>
    <xf numFmtId="0" fontId="5" fillId="4" borderId="1" xfId="0" applyFont="1" applyFill="1" applyBorder="1" applyAlignment="1">
      <alignment horizontal="right" vertical="center"/>
    </xf>
    <xf numFmtId="0" fontId="3" fillId="4" borderId="1" xfId="0" applyFont="1" applyFill="1" applyBorder="1" applyAlignment="1">
      <alignment horizontal="left" vertical="center"/>
    </xf>
    <xf numFmtId="1" fontId="0" fillId="0" borderId="0" xfId="0" applyNumberFormat="1" applyAlignment="1">
      <alignment horizontal="center"/>
    </xf>
    <xf numFmtId="166" fontId="3" fillId="0" borderId="0" xfId="0" quotePrefix="1" applyNumberFormat="1" applyFont="1" applyAlignment="1">
      <alignment horizontal="center" vertical="center"/>
    </xf>
    <xf numFmtId="1" fontId="0" fillId="0" borderId="0" xfId="0" applyNumberFormat="1"/>
    <xf numFmtId="0" fontId="3" fillId="6" borderId="1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7" xfId="0" applyFont="1" applyFill="1" applyBorder="1" applyAlignment="1">
      <alignment vertical="center"/>
    </xf>
    <xf numFmtId="4" fontId="3" fillId="6" borderId="8" xfId="0" applyNumberFormat="1" applyFont="1" applyFill="1" applyBorder="1" applyAlignment="1">
      <alignment vertical="center"/>
    </xf>
    <xf numFmtId="0" fontId="3" fillId="6" borderId="9" xfId="0" applyFont="1" applyFill="1" applyBorder="1" applyAlignment="1">
      <alignment vertical="center"/>
    </xf>
    <xf numFmtId="4" fontId="3" fillId="6" borderId="10" xfId="0" applyNumberFormat="1" applyFont="1" applyFill="1" applyBorder="1" applyAlignment="1">
      <alignment vertical="center"/>
    </xf>
    <xf numFmtId="2" fontId="3" fillId="6" borderId="16" xfId="0" applyNumberFormat="1" applyFont="1" applyFill="1" applyBorder="1" applyAlignment="1">
      <alignment horizontal="center" vertical="center"/>
    </xf>
    <xf numFmtId="0" fontId="5" fillId="3" borderId="3" xfId="0" applyFont="1" applyFill="1" applyBorder="1" applyAlignment="1">
      <alignment horizontal="right" vertical="center"/>
    </xf>
    <xf numFmtId="2" fontId="3" fillId="6" borderId="0" xfId="0" applyNumberFormat="1" applyFont="1" applyFill="1" applyAlignment="1">
      <alignment horizontal="center" vertical="center"/>
    </xf>
    <xf numFmtId="1" fontId="3" fillId="6" borderId="0" xfId="0" applyNumberFormat="1" applyFont="1" applyFill="1" applyAlignment="1">
      <alignment horizontal="center" vertical="center"/>
    </xf>
    <xf numFmtId="0" fontId="15" fillId="0" borderId="0" xfId="0" applyFont="1" applyAlignment="1">
      <alignment horizontal="left" vertical="top" wrapText="1"/>
    </xf>
    <xf numFmtId="0" fontId="15" fillId="0" borderId="0" xfId="0" applyFont="1" applyAlignment="1">
      <alignment horizontal="left" vertical="center" wrapText="1"/>
    </xf>
    <xf numFmtId="0" fontId="3" fillId="0" borderId="1" xfId="0" applyFont="1" applyBorder="1" applyAlignment="1" applyProtection="1">
      <alignment horizontal="left" vertical="center"/>
      <protection locked="0"/>
    </xf>
    <xf numFmtId="0" fontId="3" fillId="0" borderId="0" xfId="0" applyFont="1" applyAlignment="1">
      <alignment horizontal="center" vertical="center" textRotation="90" wrapText="1"/>
    </xf>
    <xf numFmtId="168" fontId="18" fillId="0" borderId="0" xfId="0" applyNumberFormat="1" applyFont="1" applyAlignment="1">
      <alignment horizontal="left" vertical="center"/>
    </xf>
    <xf numFmtId="0" fontId="3" fillId="0" borderId="0" xfId="0" applyFont="1" applyAlignment="1">
      <alignment horizontal="center" vertical="center"/>
    </xf>
    <xf numFmtId="0" fontId="14" fillId="0" borderId="0" xfId="0" applyFont="1" applyAlignment="1">
      <alignment horizontal="left" vertical="center"/>
    </xf>
    <xf numFmtId="0" fontId="3" fillId="0" borderId="1" xfId="0" applyFont="1" applyBorder="1" applyAlignment="1" applyProtection="1">
      <alignment horizontal="left" vertical="center"/>
      <protection hidden="1"/>
    </xf>
    <xf numFmtId="164" fontId="3" fillId="0" borderId="1" xfId="0" applyNumberFormat="1"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2" fontId="3" fillId="0" borderId="1" xfId="0" applyNumberFormat="1" applyFont="1" applyBorder="1" applyAlignment="1" applyProtection="1">
      <alignment horizontal="right" vertical="center"/>
      <protection locked="0"/>
    </xf>
    <xf numFmtId="2" fontId="3" fillId="0" borderId="2" xfId="0" applyNumberFormat="1" applyFont="1" applyBorder="1" applyAlignment="1" applyProtection="1">
      <alignment horizontal="right" vertical="center"/>
      <protection locked="0"/>
    </xf>
    <xf numFmtId="1" fontId="3" fillId="0" borderId="1" xfId="0" applyNumberFormat="1" applyFont="1" applyBorder="1" applyAlignment="1" applyProtection="1">
      <alignment horizontal="right" vertical="center"/>
      <protection locked="0"/>
    </xf>
    <xf numFmtId="0" fontId="3" fillId="0" borderId="1" xfId="0" applyFont="1" applyBorder="1" applyAlignment="1" applyProtection="1">
      <alignment horizontal="right" vertical="center"/>
      <protection locked="0"/>
    </xf>
    <xf numFmtId="0" fontId="2" fillId="0" borderId="0" xfId="0" applyFont="1" applyAlignment="1">
      <alignment horizontal="right" vertical="center" wrapText="1"/>
    </xf>
    <xf numFmtId="164" fontId="3" fillId="0" borderId="1"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4" fontId="3" fillId="0" borderId="2" xfId="0" applyNumberFormat="1" applyFont="1" applyBorder="1" applyAlignment="1" applyProtection="1">
      <alignment horizontal="right" vertical="center"/>
      <protection locked="0"/>
    </xf>
    <xf numFmtId="4" fontId="3" fillId="0" borderId="1" xfId="0" applyNumberFormat="1" applyFont="1" applyBorder="1" applyAlignment="1" applyProtection="1">
      <alignment horizontal="right" vertical="center"/>
      <protection locked="0"/>
    </xf>
    <xf numFmtId="1" fontId="3" fillId="0" borderId="2" xfId="0" applyNumberFormat="1" applyFont="1" applyBorder="1" applyAlignment="1" applyProtection="1">
      <alignment horizontal="right" vertical="center"/>
      <protection locked="0"/>
    </xf>
    <xf numFmtId="2" fontId="3" fillId="0" borderId="0" xfId="0" applyNumberFormat="1" applyFont="1" applyAlignment="1">
      <alignment horizontal="right" vertical="center"/>
    </xf>
    <xf numFmtId="3" fontId="3" fillId="0" borderId="2" xfId="0" applyNumberFormat="1" applyFont="1" applyBorder="1" applyAlignment="1" applyProtection="1">
      <alignment horizontal="right" vertical="center"/>
      <protection hidden="1"/>
    </xf>
    <xf numFmtId="3" fontId="3" fillId="0" borderId="2" xfId="0" applyNumberFormat="1" applyFont="1" applyBorder="1" applyAlignment="1" applyProtection="1">
      <alignment horizontal="right" vertical="center"/>
      <protection locked="0"/>
    </xf>
    <xf numFmtId="3" fontId="3" fillId="0" borderId="1" xfId="0" applyNumberFormat="1" applyFont="1" applyBorder="1" applyAlignment="1" applyProtection="1">
      <alignment horizontal="right" vertical="center"/>
      <protection locked="0"/>
    </xf>
    <xf numFmtId="0" fontId="3" fillId="0" borderId="0" xfId="0" applyFont="1" applyAlignment="1">
      <alignment horizontal="center" vertical="center" wrapText="1"/>
    </xf>
    <xf numFmtId="0" fontId="3" fillId="0" borderId="1" xfId="0" applyFont="1" applyBorder="1" applyAlignment="1" applyProtection="1">
      <alignment horizontal="center" vertical="center"/>
      <protection locked="0"/>
    </xf>
    <xf numFmtId="4" fontId="3" fillId="0" borderId="4" xfId="0" applyNumberFormat="1" applyFont="1" applyBorder="1" applyAlignment="1" applyProtection="1">
      <alignment horizontal="right" vertical="center"/>
      <protection locked="0"/>
    </xf>
    <xf numFmtId="4" fontId="3" fillId="0" borderId="1" xfId="0" applyNumberFormat="1" applyFont="1" applyBorder="1" applyAlignment="1" applyProtection="1">
      <alignment horizontal="right" vertical="center"/>
      <protection hidden="1"/>
    </xf>
    <xf numFmtId="0" fontId="3" fillId="0" borderId="2" xfId="0" applyFont="1" applyBorder="1" applyAlignment="1" applyProtection="1">
      <alignment horizontal="left" vertical="center"/>
      <protection locked="0"/>
    </xf>
    <xf numFmtId="170" fontId="3" fillId="0" borderId="2" xfId="0" applyNumberFormat="1" applyFont="1" applyBorder="1" applyAlignment="1" applyProtection="1">
      <alignment horizontal="left" vertical="center"/>
      <protection locked="0"/>
    </xf>
    <xf numFmtId="0" fontId="3" fillId="0" borderId="5"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165" fontId="3" fillId="0" borderId="1" xfId="0" applyNumberFormat="1" applyFont="1" applyBorder="1" applyAlignment="1" applyProtection="1">
      <alignment horizontal="right" vertical="center"/>
      <protection locked="0"/>
    </xf>
    <xf numFmtId="171" fontId="3" fillId="0" borderId="1" xfId="0" applyNumberFormat="1" applyFont="1" applyBorder="1" applyAlignment="1" applyProtection="1">
      <alignment horizontal="right" vertical="center"/>
      <protection locked="0"/>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21" fillId="0" borderId="1" xfId="1" applyFont="1" applyBorder="1" applyAlignment="1" applyProtection="1">
      <alignment horizontal="left" vertical="center"/>
      <protection locked="0"/>
    </xf>
    <xf numFmtId="0" fontId="3" fillId="0" borderId="0" xfId="0" applyFont="1" applyAlignment="1">
      <alignment horizontal="left" vertical="center"/>
    </xf>
    <xf numFmtId="9" fontId="3" fillId="0" borderId="2" xfId="2" applyFont="1" applyBorder="1" applyAlignment="1">
      <alignment horizontal="right" vertical="center"/>
    </xf>
    <xf numFmtId="4" fontId="3" fillId="0" borderId="1" xfId="0" applyNumberFormat="1" applyFont="1" applyBorder="1" applyAlignment="1">
      <alignment horizontal="right" vertical="center"/>
    </xf>
    <xf numFmtId="2" fontId="3" fillId="0" borderId="1" xfId="2" applyNumberFormat="1" applyFont="1" applyBorder="1" applyAlignment="1" applyProtection="1">
      <alignment horizontal="right" vertical="center"/>
    </xf>
    <xf numFmtId="3" fontId="3" fillId="0" borderId="1" xfId="0" applyNumberFormat="1" applyFont="1" applyBorder="1" applyAlignment="1" applyProtection="1">
      <alignment horizontal="center" vertical="center"/>
      <protection locked="0"/>
    </xf>
    <xf numFmtId="173" fontId="3" fillId="0" borderId="1" xfId="0" applyNumberFormat="1" applyFont="1" applyBorder="1" applyAlignment="1" applyProtection="1">
      <alignment horizontal="right" vertical="center"/>
      <protection locked="0"/>
    </xf>
    <xf numFmtId="172" fontId="3" fillId="0" borderId="2" xfId="0" applyNumberFormat="1" applyFont="1" applyBorder="1" applyAlignment="1" applyProtection="1">
      <alignment vertical="center"/>
      <protection locked="0"/>
    </xf>
    <xf numFmtId="0" fontId="21" fillId="0" borderId="2" xfId="1" applyFont="1" applyBorder="1" applyAlignment="1" applyProtection="1">
      <alignment horizontal="left" vertical="center"/>
      <protection locked="0"/>
    </xf>
    <xf numFmtId="170" fontId="3" fillId="0" borderId="1" xfId="0" applyNumberFormat="1" applyFont="1" applyBorder="1" applyAlignment="1" applyProtection="1">
      <alignment horizontal="center" vertical="center"/>
      <protection locked="0"/>
    </xf>
    <xf numFmtId="0" fontId="3" fillId="3" borderId="1" xfId="0" applyFont="1" applyFill="1" applyBorder="1" applyAlignment="1">
      <alignment horizontal="left" vertical="center"/>
    </xf>
    <xf numFmtId="14" fontId="3" fillId="3" borderId="1" xfId="0" applyNumberFormat="1" applyFont="1" applyFill="1" applyBorder="1" applyAlignment="1">
      <alignment horizontal="center" vertical="center"/>
    </xf>
    <xf numFmtId="167" fontId="3" fillId="0" borderId="1" xfId="0" applyNumberFormat="1" applyFont="1" applyBorder="1" applyAlignment="1" applyProtection="1">
      <alignment vertical="center"/>
      <protection locked="0"/>
    </xf>
    <xf numFmtId="0" fontId="11" fillId="0" borderId="2" xfId="1" applyBorder="1" applyAlignment="1" applyProtection="1">
      <alignment horizontal="left" vertical="center"/>
      <protection locked="0"/>
    </xf>
    <xf numFmtId="174" fontId="3" fillId="0" borderId="1" xfId="0" applyNumberFormat="1" applyFont="1" applyBorder="1" applyAlignment="1" applyProtection="1">
      <alignment horizontal="center" vertical="center"/>
      <protection locked="0"/>
    </xf>
    <xf numFmtId="1" fontId="3" fillId="0" borderId="2" xfId="0" applyNumberFormat="1" applyFont="1" applyBorder="1" applyAlignment="1" applyProtection="1">
      <alignment horizontal="center" vertical="center"/>
      <protection hidden="1"/>
    </xf>
    <xf numFmtId="170" fontId="3" fillId="0" borderId="2" xfId="0" applyNumberFormat="1" applyFont="1" applyBorder="1" applyAlignment="1" applyProtection="1">
      <alignment horizontal="center" vertical="center"/>
      <protection locked="0"/>
    </xf>
    <xf numFmtId="2" fontId="3" fillId="0" borderId="2" xfId="0" applyNumberFormat="1" applyFont="1" applyBorder="1" applyAlignment="1">
      <alignment horizontal="right" vertical="center"/>
    </xf>
    <xf numFmtId="2" fontId="3" fillId="0" borderId="1" xfId="0" applyNumberFormat="1" applyFont="1" applyBorder="1" applyAlignment="1">
      <alignment horizontal="right" vertical="center"/>
    </xf>
    <xf numFmtId="0" fontId="8" fillId="3" borderId="1" xfId="0" applyFont="1" applyFill="1" applyBorder="1" applyAlignment="1">
      <alignment vertical="center"/>
    </xf>
    <xf numFmtId="0" fontId="9" fillId="4" borderId="0" xfId="0" applyFont="1" applyFill="1" applyAlignment="1">
      <alignment horizontal="left" vertical="center"/>
    </xf>
    <xf numFmtId="0" fontId="9" fillId="3" borderId="0" xfId="0" applyFont="1" applyFill="1" applyAlignment="1">
      <alignment horizontal="left" vertical="center"/>
    </xf>
    <xf numFmtId="0" fontId="3" fillId="0" borderId="1" xfId="0" applyFont="1" applyBorder="1" applyAlignment="1">
      <alignment horizontal="left" vertical="center"/>
    </xf>
    <xf numFmtId="0" fontId="3" fillId="0" borderId="2" xfId="0" applyFont="1" applyBorder="1" applyAlignment="1" applyProtection="1">
      <alignment horizontal="left" vertical="center"/>
      <protection hidden="1"/>
    </xf>
    <xf numFmtId="0" fontId="3" fillId="0" borderId="2" xfId="0" applyFont="1" applyBorder="1" applyAlignment="1">
      <alignment horizontal="right" vertical="center"/>
    </xf>
    <xf numFmtId="3" fontId="3" fillId="0" borderId="1" xfId="0" applyNumberFormat="1" applyFont="1" applyBorder="1" applyAlignment="1">
      <alignment horizontal="right" vertical="center"/>
    </xf>
    <xf numFmtId="2" fontId="3" fillId="0" borderId="2" xfId="0" applyNumberFormat="1" applyFont="1" applyBorder="1" applyAlignment="1" applyProtection="1">
      <alignment horizontal="right" vertical="center"/>
      <protection hidden="1"/>
    </xf>
    <xf numFmtId="164" fontId="3" fillId="0" borderId="2" xfId="0" applyNumberFormat="1" applyFont="1" applyBorder="1" applyAlignment="1" applyProtection="1">
      <alignment horizontal="center" vertical="center"/>
      <protection locked="0"/>
    </xf>
    <xf numFmtId="3" fontId="3" fillId="0" borderId="2" xfId="0" applyNumberFormat="1" applyFont="1" applyBorder="1" applyAlignment="1">
      <alignment horizontal="right" vertical="center"/>
    </xf>
    <xf numFmtId="0" fontId="3" fillId="0" borderId="1" xfId="0" applyFont="1" applyBorder="1" applyAlignment="1">
      <alignment horizontal="right" vertical="center"/>
    </xf>
    <xf numFmtId="1" fontId="3" fillId="0" borderId="1" xfId="0" applyNumberFormat="1" applyFont="1" applyBorder="1" applyAlignment="1">
      <alignment horizontal="right" vertical="center"/>
    </xf>
    <xf numFmtId="0" fontId="3" fillId="0" borderId="0" xfId="0" applyFont="1" applyAlignment="1">
      <alignment horizontal="left" vertical="top" wrapText="1"/>
    </xf>
    <xf numFmtId="0" fontId="18" fillId="0" borderId="0" xfId="0" applyFont="1" applyAlignment="1">
      <alignment horizontal="center" vertical="center" wrapText="1"/>
    </xf>
    <xf numFmtId="4" fontId="3" fillId="0" borderId="2" xfId="0" applyNumberFormat="1" applyFont="1" applyBorder="1" applyAlignment="1">
      <alignment horizontal="right" vertical="center"/>
    </xf>
    <xf numFmtId="165" fontId="3" fillId="0" borderId="1" xfId="0" applyNumberFormat="1" applyFont="1" applyBorder="1" applyAlignment="1" applyProtection="1">
      <alignment horizontal="right" vertical="center"/>
      <protection hidden="1"/>
    </xf>
    <xf numFmtId="165" fontId="3" fillId="0" borderId="2" xfId="0" applyNumberFormat="1" applyFont="1" applyBorder="1" applyAlignment="1" applyProtection="1">
      <alignment horizontal="right" vertical="center"/>
      <protection hidden="1"/>
    </xf>
    <xf numFmtId="171" fontId="3" fillId="0" borderId="2" xfId="0" applyNumberFormat="1" applyFont="1" applyBorder="1" applyAlignment="1" applyProtection="1">
      <alignment horizontal="right" vertical="center"/>
      <protection locked="0"/>
    </xf>
    <xf numFmtId="3" fontId="3" fillId="0" borderId="1" xfId="0" applyNumberFormat="1" applyFont="1" applyBorder="1" applyAlignment="1" applyProtection="1">
      <alignment horizontal="right" vertical="center"/>
      <protection hidden="1"/>
    </xf>
    <xf numFmtId="0" fontId="3" fillId="0" borderId="1" xfId="0" applyFont="1" applyBorder="1" applyAlignment="1" applyProtection="1">
      <alignment vertical="center"/>
      <protection locked="0"/>
    </xf>
    <xf numFmtId="164" fontId="3" fillId="3" borderId="2" xfId="0" applyNumberFormat="1" applyFont="1" applyFill="1" applyBorder="1" applyAlignment="1">
      <alignment horizontal="left" vertical="center"/>
    </xf>
  </cellXfs>
  <cellStyles count="3">
    <cellStyle name="Hyperlink" xfId="1" builtinId="8"/>
    <cellStyle name="Normal" xfId="0" builtinId="0"/>
    <cellStyle name="Percent" xfId="2" builtinId="5"/>
  </cellStyles>
  <dxfs count="316">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numFmt numFmtId="3" formatCode="#,##0"/>
    </dxf>
    <dxf>
      <numFmt numFmtId="175" formatCode="0.0000"/>
    </dxf>
    <dxf>
      <fill>
        <patternFill>
          <bgColor theme="5" tint="0.59996337778862885"/>
        </patternFill>
      </fill>
    </dxf>
    <dxf>
      <numFmt numFmtId="175" formatCode="0.0000"/>
    </dxf>
    <dxf>
      <numFmt numFmtId="3" formatCode="#,##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numFmt numFmtId="175" formatCode="0.0000"/>
    </dxf>
    <dxf>
      <numFmt numFmtId="3" formatCode="#,##0"/>
    </dxf>
    <dxf>
      <fill>
        <patternFill>
          <bgColor theme="5"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numFmt numFmtId="3" formatCode="#,##0"/>
    </dxf>
    <dxf>
      <numFmt numFmtId="176" formatCode="#,##0.0000"/>
    </dxf>
    <dxf>
      <fill>
        <patternFill>
          <bgColor theme="5"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numFmt numFmtId="175" formatCode="0.0000"/>
    </dxf>
    <dxf>
      <numFmt numFmtId="3" formatCode="#,##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FF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4</xdr:col>
      <xdr:colOff>140654</xdr:colOff>
      <xdr:row>39</xdr:row>
      <xdr:rowOff>56862</xdr:rowOff>
    </xdr:from>
    <xdr:to>
      <xdr:col>4</xdr:col>
      <xdr:colOff>990919</xdr:colOff>
      <xdr:row>40</xdr:row>
      <xdr:rowOff>22768</xdr:rowOff>
    </xdr:to>
    <xdr:pic>
      <xdr:nvPicPr>
        <xdr:cNvPr id="8" name="Picture 7">
          <a:extLst>
            <a:ext uri="{FF2B5EF4-FFF2-40B4-BE49-F238E27FC236}">
              <a16:creationId xmlns:a16="http://schemas.microsoft.com/office/drawing/2014/main" id="{9E5A6083-065B-4883-98A4-FF8269904F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26854" y="9543762"/>
          <a:ext cx="850265" cy="727906"/>
        </a:xfrm>
        <a:prstGeom prst="rect">
          <a:avLst/>
        </a:prstGeom>
        <a:noFill/>
        <a:ln>
          <a:noFill/>
        </a:ln>
      </xdr:spPr>
    </xdr:pic>
    <xdr:clientData/>
  </xdr:twoCellAnchor>
  <xdr:twoCellAnchor editAs="oneCell">
    <xdr:from>
      <xdr:col>2</xdr:col>
      <xdr:colOff>127285</xdr:colOff>
      <xdr:row>38</xdr:row>
      <xdr:rowOff>28271</xdr:rowOff>
    </xdr:from>
    <xdr:to>
      <xdr:col>2</xdr:col>
      <xdr:colOff>931194</xdr:colOff>
      <xdr:row>38</xdr:row>
      <xdr:rowOff>740741</xdr:rowOff>
    </xdr:to>
    <xdr:pic>
      <xdr:nvPicPr>
        <xdr:cNvPr id="9" name="Picture 8">
          <a:extLst>
            <a:ext uri="{FF2B5EF4-FFF2-40B4-BE49-F238E27FC236}">
              <a16:creationId xmlns:a16="http://schemas.microsoft.com/office/drawing/2014/main" id="{BDB2911C-42BD-42F0-BEA7-7CF4BFC71A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1176285" y="9461831"/>
          <a:ext cx="803909" cy="718185"/>
        </a:xfrm>
        <a:prstGeom prst="rect">
          <a:avLst/>
        </a:prstGeom>
        <a:noFill/>
        <a:ln>
          <a:noFill/>
        </a:ln>
      </xdr:spPr>
    </xdr:pic>
    <xdr:clientData/>
  </xdr:twoCellAnchor>
  <xdr:twoCellAnchor editAs="oneCell">
    <xdr:from>
      <xdr:col>2</xdr:col>
      <xdr:colOff>191277</xdr:colOff>
      <xdr:row>35</xdr:row>
      <xdr:rowOff>20804</xdr:rowOff>
    </xdr:from>
    <xdr:to>
      <xdr:col>2</xdr:col>
      <xdr:colOff>915177</xdr:colOff>
      <xdr:row>35</xdr:row>
      <xdr:rowOff>745672</xdr:rowOff>
    </xdr:to>
    <xdr:pic>
      <xdr:nvPicPr>
        <xdr:cNvPr id="10" name="Picture 9">
          <a:extLst>
            <a:ext uri="{FF2B5EF4-FFF2-40B4-BE49-F238E27FC236}">
              <a16:creationId xmlns:a16="http://schemas.microsoft.com/office/drawing/2014/main" id="{EC2F9CB9-4AFF-477A-965D-E8EC155A04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40277" y="7168364"/>
          <a:ext cx="723900" cy="724868"/>
        </a:xfrm>
        <a:prstGeom prst="rect">
          <a:avLst/>
        </a:prstGeom>
        <a:ln>
          <a:noFill/>
        </a:ln>
      </xdr:spPr>
    </xdr:pic>
    <xdr:clientData/>
  </xdr:twoCellAnchor>
  <xdr:twoCellAnchor editAs="oneCell">
    <xdr:from>
      <xdr:col>2</xdr:col>
      <xdr:colOff>97757</xdr:colOff>
      <xdr:row>37</xdr:row>
      <xdr:rowOff>27284</xdr:rowOff>
    </xdr:from>
    <xdr:to>
      <xdr:col>2</xdr:col>
      <xdr:colOff>935655</xdr:colOff>
      <xdr:row>37</xdr:row>
      <xdr:rowOff>739754</xdr:rowOff>
    </xdr:to>
    <xdr:pic>
      <xdr:nvPicPr>
        <xdr:cNvPr id="11" name="Picture 10">
          <a:extLst>
            <a:ext uri="{FF2B5EF4-FFF2-40B4-BE49-F238E27FC236}">
              <a16:creationId xmlns:a16="http://schemas.microsoft.com/office/drawing/2014/main" id="{8DCF04AF-399C-494B-BFD2-1ABBA47859A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1146757" y="8698844"/>
          <a:ext cx="837898" cy="706755"/>
        </a:xfrm>
        <a:prstGeom prst="rect">
          <a:avLst/>
        </a:prstGeom>
        <a:noFill/>
        <a:ln>
          <a:noFill/>
        </a:ln>
      </xdr:spPr>
    </xdr:pic>
    <xdr:clientData/>
  </xdr:twoCellAnchor>
  <xdr:twoCellAnchor editAs="oneCell">
    <xdr:from>
      <xdr:col>2</xdr:col>
      <xdr:colOff>188084</xdr:colOff>
      <xdr:row>36</xdr:row>
      <xdr:rowOff>15934</xdr:rowOff>
    </xdr:from>
    <xdr:to>
      <xdr:col>2</xdr:col>
      <xdr:colOff>899153</xdr:colOff>
      <xdr:row>36</xdr:row>
      <xdr:rowOff>741739</xdr:rowOff>
    </xdr:to>
    <xdr:pic>
      <xdr:nvPicPr>
        <xdr:cNvPr id="12" name="Picture 11" descr="Logo&#10;&#10;Description automatically generated">
          <a:extLst>
            <a:ext uri="{FF2B5EF4-FFF2-40B4-BE49-F238E27FC236}">
              <a16:creationId xmlns:a16="http://schemas.microsoft.com/office/drawing/2014/main" id="{3288FCE9-D892-4E18-A570-403B94F534D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237084" y="7925494"/>
          <a:ext cx="707259" cy="73533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6</xdr:col>
          <xdr:colOff>360045</xdr:colOff>
          <xdr:row>36</xdr:row>
          <xdr:rowOff>0</xdr:rowOff>
        </xdr:to>
        <xdr:pic>
          <xdr:nvPicPr>
            <xdr:cNvPr id="3" name="Picture 2">
              <a:extLst>
                <a:ext uri="{FF2B5EF4-FFF2-40B4-BE49-F238E27FC236}">
                  <a16:creationId xmlns:a16="http://schemas.microsoft.com/office/drawing/2014/main" id="{E8A77AB6-53EB-4B82-B86B-B2C010F0A777}"/>
                </a:ext>
              </a:extLst>
            </xdr:cNvPr>
            <xdr:cNvPicPr>
              <a:picLocks noChangeAspect="1"/>
              <a:extLst>
                <a:ext uri="{84589F7E-364E-4C9E-8A38-B11213B215E9}">
                  <a14:cameraTool cellRange="Logo" spid="_x0000_s1380"/>
                </a:ext>
              </a:extLst>
            </xdr:cNvPicPr>
          </xdr:nvPicPr>
          <xdr:blipFill>
            <a:blip xmlns:r="http://schemas.openxmlformats.org/officeDocument/2006/relationships" r:embed="rId6"/>
            <a:stretch>
              <a:fillRect/>
            </a:stretch>
          </xdr:blipFill>
          <xdr:spPr>
            <a:xfrm>
              <a:off x="3886200" y="5657850"/>
              <a:ext cx="1714500" cy="762000"/>
            </a:xfrm>
            <a:prstGeom prst="rect">
              <a:avLst/>
            </a:prstGeom>
            <a:ln>
              <a:noFill/>
            </a:ln>
          </xdr:spPr>
        </xdr:pic>
        <xdr:clientData/>
      </xdr:twoCellAnchor>
    </mc:Choice>
    <mc:Fallback/>
  </mc:AlternateContent>
  <xdr:twoCellAnchor editAs="oneCell">
    <xdr:from>
      <xdr:col>2</xdr:col>
      <xdr:colOff>83820</xdr:colOff>
      <xdr:row>39</xdr:row>
      <xdr:rowOff>160020</xdr:rowOff>
    </xdr:from>
    <xdr:to>
      <xdr:col>2</xdr:col>
      <xdr:colOff>1435141</xdr:colOff>
      <xdr:row>39</xdr:row>
      <xdr:rowOff>659698</xdr:rowOff>
    </xdr:to>
    <xdr:pic>
      <xdr:nvPicPr>
        <xdr:cNvPr id="7" name="Picture 6">
          <a:extLst>
            <a:ext uri="{FF2B5EF4-FFF2-40B4-BE49-F238E27FC236}">
              <a16:creationId xmlns:a16="http://schemas.microsoft.com/office/drawing/2014/main" id="{6D311F4B-04F9-4B6A-A50B-ACA22C59F34B}"/>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21267" b="19271"/>
        <a:stretch/>
      </xdr:blipFill>
      <xdr:spPr>
        <a:xfrm>
          <a:off x="1943100" y="9646920"/>
          <a:ext cx="1355131" cy="495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32</xdr:col>
      <xdr:colOff>21590</xdr:colOff>
      <xdr:row>56</xdr:row>
      <xdr:rowOff>82550</xdr:rowOff>
    </xdr:from>
    <xdr:ext cx="712568" cy="259080"/>
    <xdr:pic>
      <xdr:nvPicPr>
        <xdr:cNvPr id="4" name="Picture 3">
          <a:extLst>
            <a:ext uri="{FF2B5EF4-FFF2-40B4-BE49-F238E27FC236}">
              <a16:creationId xmlns:a16="http://schemas.microsoft.com/office/drawing/2014/main" id="{C355CB50-6C6C-4EEB-9328-B367DEF2F5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4090" y="8502650"/>
          <a:ext cx="712568" cy="259080"/>
        </a:xfrm>
        <a:prstGeom prst="rect">
          <a:avLst/>
        </a:prstGeom>
      </xdr:spPr>
    </xdr:pic>
    <xdr:clientData/>
  </xdr:oneCellAnchor>
  <xdr:oneCellAnchor>
    <xdr:from>
      <xdr:col>32</xdr:col>
      <xdr:colOff>55880</xdr:colOff>
      <xdr:row>112</xdr:row>
      <xdr:rowOff>91440</xdr:rowOff>
    </xdr:from>
    <xdr:ext cx="712568" cy="259080"/>
    <xdr:pic>
      <xdr:nvPicPr>
        <xdr:cNvPr id="5" name="Picture 4">
          <a:extLst>
            <a:ext uri="{FF2B5EF4-FFF2-40B4-BE49-F238E27FC236}">
              <a16:creationId xmlns:a16="http://schemas.microsoft.com/office/drawing/2014/main" id="{7849E525-F68B-4A32-BD7E-931CC7888E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0000" y="9180129"/>
          <a:ext cx="712568" cy="259080"/>
        </a:xfrm>
        <a:prstGeom prst="rect">
          <a:avLst/>
        </a:prstGeom>
      </xdr:spPr>
    </xdr:pic>
    <xdr:clientData/>
  </xdr:oneCellAnchor>
  <xdr:oneCellAnchor>
    <xdr:from>
      <xdr:col>31</xdr:col>
      <xdr:colOff>167640</xdr:colOff>
      <xdr:row>158</xdr:row>
      <xdr:rowOff>38100</xdr:rowOff>
    </xdr:from>
    <xdr:ext cx="712568" cy="259080"/>
    <xdr:pic>
      <xdr:nvPicPr>
        <xdr:cNvPr id="6" name="Picture 5">
          <a:extLst>
            <a:ext uri="{FF2B5EF4-FFF2-40B4-BE49-F238E27FC236}">
              <a16:creationId xmlns:a16="http://schemas.microsoft.com/office/drawing/2014/main" id="{9FD6802B-404A-4995-8106-881EB59254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9640" y="25488900"/>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59690</xdr:colOff>
          <xdr:row>4</xdr:row>
          <xdr:rowOff>0</xdr:rowOff>
        </xdr:to>
        <xdr:pic>
          <xdr:nvPicPr>
            <xdr:cNvPr id="7" name="Picture 6">
              <a:extLst>
                <a:ext uri="{FF2B5EF4-FFF2-40B4-BE49-F238E27FC236}">
                  <a16:creationId xmlns:a16="http://schemas.microsoft.com/office/drawing/2014/main" id="{00AAE24E-932B-B08A-98B0-E220BF1080BA}"/>
                </a:ext>
              </a:extLst>
            </xdr:cNvPr>
            <xdr:cNvPicPr>
              <a:picLocks noChangeAspect="1" noChangeArrowheads="1"/>
              <a:extLst>
                <a:ext uri="{84589F7E-364E-4C9E-8A38-B11213B215E9}">
                  <a14:cameraTool cellRange="Logo" spid="_x0000_s2704"/>
                </a:ext>
              </a:extLst>
            </xdr:cNvPicPr>
          </xdr:nvPicPr>
          <xdr:blipFill>
            <a:blip xmlns:r="http://schemas.openxmlformats.org/officeDocument/2006/relationships" r:embed="rId2"/>
            <a:srcRect/>
            <a:stretch>
              <a:fillRect/>
            </a:stretch>
          </xdr:blipFill>
          <xdr:spPr bwMode="auto">
            <a:xfrm>
              <a:off x="0" y="0"/>
              <a:ext cx="1714500" cy="762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0</xdr:row>
          <xdr:rowOff>0</xdr:rowOff>
        </xdr:from>
        <xdr:to>
          <xdr:col>52</xdr:col>
          <xdr:colOff>120650</xdr:colOff>
          <xdr:row>4</xdr:row>
          <xdr:rowOff>0</xdr:rowOff>
        </xdr:to>
        <xdr:pic>
          <xdr:nvPicPr>
            <xdr:cNvPr id="8" name="Picture 7">
              <a:extLst>
                <a:ext uri="{FF2B5EF4-FFF2-40B4-BE49-F238E27FC236}">
                  <a16:creationId xmlns:a16="http://schemas.microsoft.com/office/drawing/2014/main" id="{DD3CF302-0D13-C83A-1EF9-FC0D6BB410FE}"/>
                </a:ext>
              </a:extLst>
            </xdr:cNvPr>
            <xdr:cNvPicPr>
              <a:picLocks noChangeAspect="1" noChangeArrowheads="1"/>
              <a:extLst>
                <a:ext uri="{84589F7E-364E-4C9E-8A38-B11213B215E9}">
                  <a14:cameraTool cellRange="Logo" spid="_x0000_s2705"/>
                </a:ext>
              </a:extLst>
            </xdr:cNvPicPr>
          </xdr:nvPicPr>
          <xdr:blipFill>
            <a:blip xmlns:r="http://schemas.openxmlformats.org/officeDocument/2006/relationships" r:embed="rId2"/>
            <a:srcRect/>
            <a:stretch>
              <a:fillRect/>
            </a:stretch>
          </xdr:blipFill>
          <xdr:spPr bwMode="auto">
            <a:xfrm>
              <a:off x="7112000" y="0"/>
              <a:ext cx="1714500" cy="76200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32</xdr:col>
      <xdr:colOff>55880</xdr:colOff>
      <xdr:row>210</xdr:row>
      <xdr:rowOff>91440</xdr:rowOff>
    </xdr:from>
    <xdr:ext cx="712568" cy="259080"/>
    <xdr:pic>
      <xdr:nvPicPr>
        <xdr:cNvPr id="2" name="Picture 1">
          <a:extLst>
            <a:ext uri="{FF2B5EF4-FFF2-40B4-BE49-F238E27FC236}">
              <a16:creationId xmlns:a16="http://schemas.microsoft.com/office/drawing/2014/main" id="{A555A92B-916B-4912-8339-99D05B0519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2190" y="25241250"/>
          <a:ext cx="712568" cy="25908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31</xdr:col>
      <xdr:colOff>187325</xdr:colOff>
      <xdr:row>112</xdr:row>
      <xdr:rowOff>102235</xdr:rowOff>
    </xdr:from>
    <xdr:ext cx="712568" cy="259080"/>
    <xdr:pic>
      <xdr:nvPicPr>
        <xdr:cNvPr id="2" name="Picture 1" descr="A blue text on a white background&#10;&#10;Description automatically generated">
          <a:extLst>
            <a:ext uri="{FF2B5EF4-FFF2-40B4-BE49-F238E27FC236}">
              <a16:creationId xmlns:a16="http://schemas.microsoft.com/office/drawing/2014/main" id="{9E909A79-A055-406B-A9A3-25CA33715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6150" y="17833975"/>
          <a:ext cx="712568" cy="259080"/>
        </a:xfrm>
        <a:prstGeom prst="rect">
          <a:avLst/>
        </a:prstGeom>
      </xdr:spPr>
    </xdr:pic>
    <xdr:clientData/>
  </xdr:oneCellAnchor>
  <xdr:oneCellAnchor>
    <xdr:from>
      <xdr:col>31</xdr:col>
      <xdr:colOff>187325</xdr:colOff>
      <xdr:row>64</xdr:row>
      <xdr:rowOff>117475</xdr:rowOff>
    </xdr:from>
    <xdr:ext cx="712568" cy="259080"/>
    <xdr:pic>
      <xdr:nvPicPr>
        <xdr:cNvPr id="4" name="Picture 3">
          <a:extLst>
            <a:ext uri="{FF2B5EF4-FFF2-40B4-BE49-F238E27FC236}">
              <a16:creationId xmlns:a16="http://schemas.microsoft.com/office/drawing/2014/main" id="{F5A3ABD0-BA06-4BA6-AEBE-9D688A1925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6150" y="884237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55880</xdr:colOff>
          <xdr:row>4</xdr:row>
          <xdr:rowOff>0</xdr:rowOff>
        </xdr:to>
        <xdr:pic>
          <xdr:nvPicPr>
            <xdr:cNvPr id="7" name="Picture 6">
              <a:extLst>
                <a:ext uri="{FF2B5EF4-FFF2-40B4-BE49-F238E27FC236}">
                  <a16:creationId xmlns:a16="http://schemas.microsoft.com/office/drawing/2014/main" id="{78C0A340-0059-460B-97CF-63DE1AE4868D}"/>
                </a:ext>
              </a:extLst>
            </xdr:cNvPr>
            <xdr:cNvPicPr>
              <a:picLocks noChangeAspect="1" noChangeArrowheads="1"/>
              <a:extLst>
                <a:ext uri="{84589F7E-364E-4C9E-8A38-B11213B215E9}">
                  <a14:cameraTool cellRange="Logo" spid="_x0000_s6502"/>
                </a:ext>
              </a:extLst>
            </xdr:cNvPicPr>
          </xdr:nvPicPr>
          <xdr:blipFill>
            <a:blip xmlns:r="http://schemas.openxmlformats.org/officeDocument/2006/relationships" r:embed="rId2"/>
            <a:srcRect/>
            <a:stretch>
              <a:fillRect/>
            </a:stretch>
          </xdr:blipFill>
          <xdr:spPr bwMode="auto">
            <a:xfrm>
              <a:off x="0" y="0"/>
              <a:ext cx="1706880" cy="762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46355</xdr:colOff>
          <xdr:row>0</xdr:row>
          <xdr:rowOff>0</xdr:rowOff>
        </xdr:from>
        <xdr:to>
          <xdr:col>52</xdr:col>
          <xdr:colOff>46355</xdr:colOff>
          <xdr:row>4</xdr:row>
          <xdr:rowOff>0</xdr:rowOff>
        </xdr:to>
        <xdr:pic>
          <xdr:nvPicPr>
            <xdr:cNvPr id="8" name="Picture 7">
              <a:extLst>
                <a:ext uri="{FF2B5EF4-FFF2-40B4-BE49-F238E27FC236}">
                  <a16:creationId xmlns:a16="http://schemas.microsoft.com/office/drawing/2014/main" id="{9D0AA16D-B67E-4407-9111-D03F97ACE4E8}"/>
                </a:ext>
              </a:extLst>
            </xdr:cNvPr>
            <xdr:cNvPicPr>
              <a:picLocks noChangeAspect="1" noChangeArrowheads="1"/>
              <a:extLst>
                <a:ext uri="{84589F7E-364E-4C9E-8A38-B11213B215E9}">
                  <a14:cameraTool cellRange="Logo" spid="_x0000_s6503"/>
                </a:ext>
              </a:extLst>
            </xdr:cNvPicPr>
          </xdr:nvPicPr>
          <xdr:blipFill>
            <a:blip xmlns:r="http://schemas.openxmlformats.org/officeDocument/2006/relationships" r:embed="rId2"/>
            <a:srcRect/>
            <a:stretch>
              <a:fillRect/>
            </a:stretch>
          </xdr:blipFill>
          <xdr:spPr bwMode="auto">
            <a:xfrm>
              <a:off x="7158355" y="0"/>
              <a:ext cx="1714500" cy="762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33</xdr:col>
      <xdr:colOff>121285</xdr:colOff>
      <xdr:row>59</xdr:row>
      <xdr:rowOff>44450</xdr:rowOff>
    </xdr:from>
    <xdr:ext cx="712568" cy="259080"/>
    <xdr:pic>
      <xdr:nvPicPr>
        <xdr:cNvPr id="6" name="Picture 5">
          <a:extLst>
            <a:ext uri="{FF2B5EF4-FFF2-40B4-BE49-F238E27FC236}">
              <a16:creationId xmlns:a16="http://schemas.microsoft.com/office/drawing/2014/main" id="{598F9883-1F5E-4FA7-8EF0-01A21665A3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235" y="8718550"/>
          <a:ext cx="712568" cy="259080"/>
        </a:xfrm>
        <a:prstGeom prst="rect">
          <a:avLst/>
        </a:prstGeom>
      </xdr:spPr>
    </xdr:pic>
    <xdr:clientData/>
  </xdr:oneCellAnchor>
  <xdr:oneCellAnchor>
    <xdr:from>
      <xdr:col>33</xdr:col>
      <xdr:colOff>142240</xdr:colOff>
      <xdr:row>107</xdr:row>
      <xdr:rowOff>91440</xdr:rowOff>
    </xdr:from>
    <xdr:ext cx="712568" cy="259080"/>
    <xdr:pic>
      <xdr:nvPicPr>
        <xdr:cNvPr id="7" name="Picture 6">
          <a:extLst>
            <a:ext uri="{FF2B5EF4-FFF2-40B4-BE49-F238E27FC236}">
              <a16:creationId xmlns:a16="http://schemas.microsoft.com/office/drawing/2014/main" id="{A3AAA8B5-EC39-46D5-B0BC-388F53B98B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7285" y="9182100"/>
          <a:ext cx="712568" cy="259080"/>
        </a:xfrm>
        <a:prstGeom prst="rect">
          <a:avLst/>
        </a:prstGeom>
      </xdr:spPr>
    </xdr:pic>
    <xdr:clientData/>
  </xdr:oneCellAnchor>
  <xdr:oneCellAnchor>
    <xdr:from>
      <xdr:col>33</xdr:col>
      <xdr:colOff>142240</xdr:colOff>
      <xdr:row>151</xdr:row>
      <xdr:rowOff>91440</xdr:rowOff>
    </xdr:from>
    <xdr:ext cx="712568" cy="259080"/>
    <xdr:pic>
      <xdr:nvPicPr>
        <xdr:cNvPr id="8" name="Picture 7">
          <a:extLst>
            <a:ext uri="{FF2B5EF4-FFF2-40B4-BE49-F238E27FC236}">
              <a16:creationId xmlns:a16="http://schemas.microsoft.com/office/drawing/2014/main" id="{A1727601-56E6-49A5-8184-99FDCDBCAC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7285" y="9182100"/>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64770</xdr:colOff>
          <xdr:row>3</xdr:row>
          <xdr:rowOff>179070</xdr:rowOff>
        </xdr:to>
        <xdr:pic>
          <xdr:nvPicPr>
            <xdr:cNvPr id="13" name="Picture 12">
              <a:extLst>
                <a:ext uri="{FF2B5EF4-FFF2-40B4-BE49-F238E27FC236}">
                  <a16:creationId xmlns:a16="http://schemas.microsoft.com/office/drawing/2014/main" id="{3879FBE3-A02F-9F73-C96D-5EC5FD7A33BC}"/>
                </a:ext>
              </a:extLst>
            </xdr:cNvPr>
            <xdr:cNvPicPr>
              <a:picLocks noChangeAspect="1" noChangeArrowheads="1"/>
              <a:extLst>
                <a:ext uri="{84589F7E-364E-4C9E-8A38-B11213B215E9}">
                  <a14:cameraTool cellRange="Logo" spid="_x0000_s3722"/>
                </a:ext>
              </a:extLst>
            </xdr:cNvPicPr>
          </xdr:nvPicPr>
          <xdr:blipFill>
            <a:blip xmlns:r="http://schemas.openxmlformats.org/officeDocument/2006/relationships" r:embed="rId2"/>
            <a:srcRect/>
            <a:stretch>
              <a:fillRect/>
            </a:stretch>
          </xdr:blipFill>
          <xdr:spPr bwMode="auto">
            <a:xfrm>
              <a:off x="0" y="0"/>
              <a:ext cx="1714500" cy="762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0</xdr:row>
          <xdr:rowOff>0</xdr:rowOff>
        </xdr:from>
        <xdr:to>
          <xdr:col>55</xdr:col>
          <xdr:colOff>0</xdr:colOff>
          <xdr:row>4</xdr:row>
          <xdr:rowOff>0</xdr:rowOff>
        </xdr:to>
        <xdr:pic>
          <xdr:nvPicPr>
            <xdr:cNvPr id="14" name="Picture 13">
              <a:extLst>
                <a:ext uri="{FF2B5EF4-FFF2-40B4-BE49-F238E27FC236}">
                  <a16:creationId xmlns:a16="http://schemas.microsoft.com/office/drawing/2014/main" id="{6F831F27-8A73-7520-A92C-1AB718A94A73}"/>
                </a:ext>
              </a:extLst>
            </xdr:cNvPr>
            <xdr:cNvPicPr>
              <a:picLocks noChangeAspect="1" noChangeArrowheads="1"/>
              <a:extLst>
                <a:ext uri="{84589F7E-364E-4C9E-8A38-B11213B215E9}">
                  <a14:cameraTool cellRange="Logo" spid="_x0000_s3723"/>
                </a:ext>
              </a:extLst>
            </xdr:cNvPicPr>
          </xdr:nvPicPr>
          <xdr:blipFill>
            <a:blip xmlns:r="http://schemas.openxmlformats.org/officeDocument/2006/relationships" r:embed="rId2"/>
            <a:srcRect/>
            <a:stretch>
              <a:fillRect/>
            </a:stretch>
          </xdr:blipFill>
          <xdr:spPr bwMode="auto">
            <a:xfrm>
              <a:off x="7188200" y="0"/>
              <a:ext cx="1714500" cy="76200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33</xdr:col>
      <xdr:colOff>6985</xdr:colOff>
      <xdr:row>245</xdr:row>
      <xdr:rowOff>95250</xdr:rowOff>
    </xdr:from>
    <xdr:ext cx="712568" cy="259080"/>
    <xdr:pic>
      <xdr:nvPicPr>
        <xdr:cNvPr id="2" name="Picture 1">
          <a:extLst>
            <a:ext uri="{FF2B5EF4-FFF2-40B4-BE49-F238E27FC236}">
              <a16:creationId xmlns:a16="http://schemas.microsoft.com/office/drawing/2014/main" id="{8EC787EA-F0D4-400A-8DA8-0F677B5A09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3935" y="33477200"/>
          <a:ext cx="712568" cy="259080"/>
        </a:xfrm>
        <a:prstGeom prst="rect">
          <a:avLst/>
        </a:prstGeom>
      </xdr:spPr>
    </xdr:pic>
    <xdr:clientData/>
  </xdr:oneCellAnchor>
  <xdr:oneCellAnchor>
    <xdr:from>
      <xdr:col>33</xdr:col>
      <xdr:colOff>6985</xdr:colOff>
      <xdr:row>200</xdr:row>
      <xdr:rowOff>95250</xdr:rowOff>
    </xdr:from>
    <xdr:ext cx="712568" cy="259080"/>
    <xdr:pic>
      <xdr:nvPicPr>
        <xdr:cNvPr id="3" name="Picture 2">
          <a:extLst>
            <a:ext uri="{FF2B5EF4-FFF2-40B4-BE49-F238E27FC236}">
              <a16:creationId xmlns:a16="http://schemas.microsoft.com/office/drawing/2014/main" id="{E009A702-ED15-4974-8ADE-E370BAF080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5840" y="37226240"/>
          <a:ext cx="712568" cy="25908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0EFB0-EACE-4F2E-965F-30EBADAB0D63}" name="T_Material" displayName="T_Material" ref="A1:A10" totalsRowShown="0">
  <autoFilter ref="A1:A10" xr:uid="{4350EFB0-EACE-4F2E-965F-30EBADAB0D63}"/>
  <sortState xmlns:xlrd2="http://schemas.microsoft.com/office/spreadsheetml/2017/richdata2" ref="A2:A10">
    <sortCondition ref="A2:A10"/>
  </sortState>
  <tableColumns count="1">
    <tableColumn id="1" xr3:uid="{20635FEE-B87A-4613-8116-D42DBA41BC7B}" name="Materi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39741E-8EC4-48CA-B62A-CDE619601AF9}" name="T_Shape" displayName="T_Shape" ref="C1:C10" totalsRowShown="0">
  <autoFilter ref="C1:C10" xr:uid="{6939741E-8EC4-48CA-B62A-CDE619601AF9}"/>
  <sortState xmlns:xlrd2="http://schemas.microsoft.com/office/spreadsheetml/2017/richdata2" ref="C2:C10">
    <sortCondition ref="C2:C10"/>
  </sortState>
  <tableColumns count="1">
    <tableColumn id="1" xr3:uid="{FCA45FDF-4BF6-485F-9343-A0FC0251070A}" name="Sha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97A227-8DCB-4BDE-A6B8-65F88654921D}" name="T_Type" displayName="T_Type" ref="E1:E4" totalsRowShown="0">
  <autoFilter ref="E1:E4" xr:uid="{2397A227-8DCB-4BDE-A6B8-65F88654921D}"/>
  <tableColumns count="1">
    <tableColumn id="1" xr3:uid="{027BD434-05A1-4059-97D8-98CB878E91EF}" name="Typ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C10C78-AF29-47BA-9C97-B74BAA8C7E1E}" name="Table6" displayName="Table6" ref="G1:G20" totalsRowShown="0">
  <autoFilter ref="G1:G20" xr:uid="{88C10C78-AF29-47BA-9C97-B74BAA8C7E1E}"/>
  <tableColumns count="1">
    <tableColumn id="1" xr3:uid="{C70FD3B5-6EE9-47D3-96F9-BC5D876984C6}" name="Design Respons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CB43-2341-4A92-ACD7-244D3FF85EAC}">
  <sheetPr codeName="Sheet3">
    <tabColor rgb="FFFF0000"/>
  </sheetPr>
  <dimension ref="A1:N40"/>
  <sheetViews>
    <sheetView showGridLines="0" zoomScaleNormal="100" workbookViewId="0">
      <selection activeCell="C14" sqref="C14"/>
    </sheetView>
  </sheetViews>
  <sheetFormatPr defaultRowHeight="14.4" x14ac:dyDescent="0.3"/>
  <cols>
    <col min="1" max="1" width="23.33203125" bestFit="1" customWidth="1"/>
    <col min="2" max="2" width="3.77734375" customWidth="1"/>
    <col min="3" max="3" width="25" bestFit="1" customWidth="1"/>
    <col min="4" max="4" width="4.5546875" bestFit="1" customWidth="1"/>
    <col min="5" max="5" width="15.77734375" customWidth="1"/>
    <col min="6" max="6" width="3.77734375" customWidth="1"/>
    <col min="7" max="7" width="72.6640625" bestFit="1" customWidth="1"/>
    <col min="8" max="8" width="15.77734375" customWidth="1"/>
    <col min="9" max="9" width="23.33203125" bestFit="1" customWidth="1"/>
    <col min="10" max="14" width="15.77734375" customWidth="1"/>
  </cols>
  <sheetData>
    <row r="1" spans="1:14" x14ac:dyDescent="0.3">
      <c r="A1" t="s">
        <v>24</v>
      </c>
      <c r="C1" t="s">
        <v>34</v>
      </c>
      <c r="E1" t="s">
        <v>67</v>
      </c>
      <c r="G1" t="s">
        <v>85</v>
      </c>
      <c r="H1">
        <v>1</v>
      </c>
      <c r="I1" s="129" t="s">
        <v>367</v>
      </c>
      <c r="J1" s="130" t="s">
        <v>164</v>
      </c>
      <c r="K1" s="130" t="s">
        <v>306</v>
      </c>
      <c r="L1" s="130" t="s">
        <v>166</v>
      </c>
      <c r="M1" s="130" t="s">
        <v>163</v>
      </c>
      <c r="N1" s="130" t="s">
        <v>165</v>
      </c>
    </row>
    <row r="2" spans="1:14" x14ac:dyDescent="0.3">
      <c r="A2" t="s">
        <v>25</v>
      </c>
      <c r="C2" t="s">
        <v>389</v>
      </c>
      <c r="E2" t="s">
        <v>187</v>
      </c>
      <c r="G2" t="s">
        <v>87</v>
      </c>
      <c r="H2">
        <f>H1+1</f>
        <v>2</v>
      </c>
      <c r="I2" s="102" t="s">
        <v>5</v>
      </c>
      <c r="J2" s="106">
        <v>1.1000000000000001</v>
      </c>
      <c r="K2" s="106">
        <v>1.1000000000000001</v>
      </c>
      <c r="L2" s="106">
        <v>1.2</v>
      </c>
      <c r="M2" s="106">
        <v>1.1000000000000001</v>
      </c>
      <c r="N2" s="107">
        <v>1.1000000000000001</v>
      </c>
    </row>
    <row r="3" spans="1:14" x14ac:dyDescent="0.3">
      <c r="A3" t="s">
        <v>75</v>
      </c>
      <c r="C3" t="s">
        <v>390</v>
      </c>
      <c r="E3" t="s">
        <v>188</v>
      </c>
      <c r="G3" t="s">
        <v>80</v>
      </c>
      <c r="H3">
        <f t="shared" ref="H3:H20" si="0">H2+1</f>
        <v>3</v>
      </c>
      <c r="I3" s="102" t="s">
        <v>6</v>
      </c>
      <c r="J3" s="106">
        <v>4.1100000000000003</v>
      </c>
      <c r="K3" s="106">
        <v>4.1399999999999997</v>
      </c>
      <c r="L3" s="106">
        <v>5.7</v>
      </c>
      <c r="M3" s="106">
        <v>4.24</v>
      </c>
      <c r="N3" s="107">
        <v>4.21</v>
      </c>
    </row>
    <row r="4" spans="1:14" x14ac:dyDescent="0.3">
      <c r="A4" t="s">
        <v>76</v>
      </c>
      <c r="C4" t="s">
        <v>176</v>
      </c>
      <c r="E4" t="s">
        <v>372</v>
      </c>
      <c r="G4" t="s">
        <v>86</v>
      </c>
      <c r="H4">
        <f t="shared" si="0"/>
        <v>4</v>
      </c>
      <c r="I4" s="102" t="s">
        <v>7</v>
      </c>
      <c r="J4" s="106">
        <v>5.01</v>
      </c>
      <c r="K4" s="106">
        <v>5.0599999999999996</v>
      </c>
      <c r="L4" s="106">
        <v>7.21</v>
      </c>
      <c r="M4" s="106">
        <v>5.3</v>
      </c>
      <c r="N4" s="107">
        <v>5.24</v>
      </c>
    </row>
    <row r="5" spans="1:14" x14ac:dyDescent="0.3">
      <c r="A5" t="s">
        <v>29</v>
      </c>
      <c r="C5" t="s">
        <v>175</v>
      </c>
      <c r="G5" t="s">
        <v>77</v>
      </c>
      <c r="H5">
        <f t="shared" si="0"/>
        <v>5</v>
      </c>
      <c r="I5" s="102" t="s">
        <v>8</v>
      </c>
      <c r="J5" s="106">
        <v>5.87</v>
      </c>
      <c r="K5" s="106">
        <v>5.91</v>
      </c>
      <c r="L5" s="106">
        <v>8.6300000000000008</v>
      </c>
      <c r="M5" s="106">
        <v>6.24</v>
      </c>
      <c r="N5" s="107">
        <v>6.17</v>
      </c>
    </row>
    <row r="6" spans="1:14" x14ac:dyDescent="0.3">
      <c r="A6" t="s">
        <v>27</v>
      </c>
      <c r="C6" t="s">
        <v>178</v>
      </c>
      <c r="G6" t="str">
        <f>"Velocity &gt; "&amp;C26&amp;" ft/s"</f>
        <v>Velocity &gt; 6 ft/s</v>
      </c>
      <c r="H6">
        <f t="shared" si="0"/>
        <v>6</v>
      </c>
      <c r="I6" s="102" t="s">
        <v>9</v>
      </c>
      <c r="J6" s="106">
        <v>7.21</v>
      </c>
      <c r="K6" s="106">
        <v>7.26</v>
      </c>
      <c r="L6" s="106">
        <v>10.8</v>
      </c>
      <c r="M6" s="106">
        <v>7.64</v>
      </c>
      <c r="N6" s="107">
        <v>7.55</v>
      </c>
    </row>
    <row r="7" spans="1:14" x14ac:dyDescent="0.3">
      <c r="A7" t="s">
        <v>26</v>
      </c>
      <c r="C7" t="s">
        <v>177</v>
      </c>
      <c r="G7" t="s">
        <v>119</v>
      </c>
      <c r="H7">
        <f t="shared" si="0"/>
        <v>7</v>
      </c>
      <c r="I7" s="102" t="s">
        <v>392</v>
      </c>
      <c r="J7" s="106">
        <v>8.3699999999999992</v>
      </c>
      <c r="K7" s="106">
        <v>8.48</v>
      </c>
      <c r="L7" s="106">
        <v>12.7</v>
      </c>
      <c r="M7" s="106">
        <v>8.8000000000000007</v>
      </c>
      <c r="N7" s="107">
        <v>8.6999999999999993</v>
      </c>
    </row>
    <row r="8" spans="1:14" x14ac:dyDescent="0.3">
      <c r="A8" t="s">
        <v>31</v>
      </c>
      <c r="C8" t="s">
        <v>477</v>
      </c>
      <c r="G8" t="s">
        <v>118</v>
      </c>
      <c r="H8">
        <f t="shared" si="0"/>
        <v>8</v>
      </c>
      <c r="I8" s="102" t="s">
        <v>10</v>
      </c>
      <c r="J8" s="106">
        <v>9.65</v>
      </c>
      <c r="K8" s="106">
        <v>9.83</v>
      </c>
      <c r="L8" s="106">
        <v>14.8</v>
      </c>
      <c r="M8" s="106">
        <v>10</v>
      </c>
      <c r="N8" s="107">
        <v>9.93</v>
      </c>
    </row>
    <row r="9" spans="1:14" ht="15.6" x14ac:dyDescent="0.35">
      <c r="A9" t="s">
        <v>28</v>
      </c>
      <c r="C9" t="s">
        <v>391</v>
      </c>
      <c r="G9" t="s">
        <v>158</v>
      </c>
      <c r="H9">
        <f t="shared" si="0"/>
        <v>9</v>
      </c>
      <c r="I9" s="102" t="s">
        <v>309</v>
      </c>
      <c r="J9" s="110" t="s">
        <v>310</v>
      </c>
      <c r="K9" s="110" t="s">
        <v>311</v>
      </c>
      <c r="L9" s="110" t="s">
        <v>312</v>
      </c>
      <c r="M9" s="110" t="s">
        <v>312</v>
      </c>
      <c r="N9" s="110" t="s">
        <v>313</v>
      </c>
    </row>
    <row r="10" spans="1:14" x14ac:dyDescent="0.3">
      <c r="A10" t="s">
        <v>74</v>
      </c>
      <c r="C10" t="s">
        <v>31</v>
      </c>
      <c r="G10" t="s">
        <v>449</v>
      </c>
      <c r="H10">
        <f t="shared" si="0"/>
        <v>10</v>
      </c>
      <c r="I10" s="102" t="s">
        <v>314</v>
      </c>
      <c r="J10" t="s">
        <v>315</v>
      </c>
      <c r="K10" t="s">
        <v>316</v>
      </c>
      <c r="L10" t="s">
        <v>315</v>
      </c>
      <c r="M10" t="s">
        <v>315</v>
      </c>
      <c r="N10" t="s">
        <v>315</v>
      </c>
    </row>
    <row r="11" spans="1:14" x14ac:dyDescent="0.3">
      <c r="G11" t="s">
        <v>304</v>
      </c>
      <c r="H11">
        <f t="shared" si="0"/>
        <v>11</v>
      </c>
      <c r="I11" s="102" t="s">
        <v>317</v>
      </c>
      <c r="J11" t="s">
        <v>318</v>
      </c>
      <c r="K11" t="s">
        <v>127</v>
      </c>
      <c r="L11" t="s">
        <v>127</v>
      </c>
      <c r="M11" t="s">
        <v>127</v>
      </c>
      <c r="N11" t="s">
        <v>127</v>
      </c>
    </row>
    <row r="12" spans="1:14" x14ac:dyDescent="0.3">
      <c r="G12" t="s">
        <v>298</v>
      </c>
      <c r="H12">
        <f t="shared" si="0"/>
        <v>12</v>
      </c>
      <c r="I12" s="102" t="s">
        <v>362</v>
      </c>
      <c r="L12" t="s">
        <v>363</v>
      </c>
      <c r="M12" t="s">
        <v>388</v>
      </c>
    </row>
    <row r="13" spans="1:14" x14ac:dyDescent="0.3">
      <c r="A13" s="102" t="s">
        <v>291</v>
      </c>
      <c r="C13" s="114">
        <v>45566</v>
      </c>
      <c r="G13" t="s">
        <v>365</v>
      </c>
      <c r="H13">
        <f t="shared" si="0"/>
        <v>13</v>
      </c>
      <c r="I13" s="102" t="s">
        <v>364</v>
      </c>
      <c r="J13">
        <v>6</v>
      </c>
      <c r="K13">
        <v>5</v>
      </c>
      <c r="L13">
        <v>5</v>
      </c>
      <c r="M13">
        <v>6</v>
      </c>
      <c r="N13">
        <v>6</v>
      </c>
    </row>
    <row r="14" spans="1:14" x14ac:dyDescent="0.3">
      <c r="A14" s="108" t="s">
        <v>167</v>
      </c>
      <c r="C14" s="109" t="s">
        <v>163</v>
      </c>
      <c r="G14" t="s">
        <v>299</v>
      </c>
      <c r="H14">
        <f t="shared" si="0"/>
        <v>14</v>
      </c>
      <c r="I14" s="102" t="s">
        <v>374</v>
      </c>
      <c r="J14" s="131"/>
      <c r="K14" s="131"/>
      <c r="L14" s="132" t="s">
        <v>448</v>
      </c>
      <c r="M14" s="132" t="s">
        <v>375</v>
      </c>
      <c r="N14" s="132" t="s">
        <v>376</v>
      </c>
    </row>
    <row r="15" spans="1:14" ht="16.2" x14ac:dyDescent="0.3">
      <c r="A15" s="102" t="s">
        <v>5</v>
      </c>
      <c r="C15" s="106">
        <f>HLOOKUP($C$14,$J$1:$N$13,2)</f>
        <v>1.1000000000000001</v>
      </c>
      <c r="D15" s="105" t="str">
        <f>TEXT(C15,"0.00")</f>
        <v>1.10</v>
      </c>
      <c r="G15" t="s">
        <v>396</v>
      </c>
      <c r="H15">
        <f t="shared" si="0"/>
        <v>15</v>
      </c>
      <c r="I15" s="102" t="s">
        <v>393</v>
      </c>
      <c r="J15" t="s">
        <v>394</v>
      </c>
      <c r="K15" t="s">
        <v>395</v>
      </c>
      <c r="L15" t="s">
        <v>394</v>
      </c>
      <c r="M15" t="s">
        <v>394</v>
      </c>
      <c r="N15" t="s">
        <v>394</v>
      </c>
    </row>
    <row r="16" spans="1:14" x14ac:dyDescent="0.3">
      <c r="A16" s="102" t="s">
        <v>6</v>
      </c>
      <c r="C16" s="106">
        <f>HLOOKUP($C$14,$J$1:$N$13,3)</f>
        <v>4.24</v>
      </c>
      <c r="G16" t="str">
        <f>C25&amp;" has not been provided"</f>
        <v>ENG No. has not been provided</v>
      </c>
      <c r="H16">
        <f t="shared" si="0"/>
        <v>16</v>
      </c>
      <c r="I16" s="102" t="s">
        <v>475</v>
      </c>
      <c r="J16" s="105">
        <v>4</v>
      </c>
      <c r="K16" s="105">
        <v>6</v>
      </c>
      <c r="L16" s="105">
        <v>4</v>
      </c>
      <c r="M16" s="105">
        <v>4</v>
      </c>
      <c r="N16" s="105">
        <v>4</v>
      </c>
    </row>
    <row r="17" spans="1:14" x14ac:dyDescent="0.3">
      <c r="A17" s="102" t="s">
        <v>7</v>
      </c>
      <c r="C17" s="106">
        <f>HLOOKUP($C$14,$J$1:$N$13,4)</f>
        <v>5.3</v>
      </c>
      <c r="D17" s="106"/>
      <c r="G17" t="s">
        <v>441</v>
      </c>
      <c r="H17">
        <f t="shared" si="0"/>
        <v>17</v>
      </c>
      <c r="I17" s="102" t="s">
        <v>476</v>
      </c>
      <c r="J17" s="105" t="s">
        <v>153</v>
      </c>
      <c r="K17" s="105" t="s">
        <v>153</v>
      </c>
      <c r="L17" s="105" t="s">
        <v>169</v>
      </c>
      <c r="M17" s="105" t="s">
        <v>153</v>
      </c>
      <c r="N17" s="105" t="s">
        <v>153</v>
      </c>
    </row>
    <row r="18" spans="1:14" x14ac:dyDescent="0.3">
      <c r="A18" s="102" t="s">
        <v>8</v>
      </c>
      <c r="C18" s="106">
        <f>HLOOKUP($C$14,$J$1:$N$13,5)</f>
        <v>6.24</v>
      </c>
      <c r="G18" t="str">
        <f>"Known flooding:  2, 5, 10, 25, 50, or 100-yr discharge &gt; "&amp;C30&amp;"-yr discharge"</f>
        <v>Known flooding:  2, 5, 10, 25, 50, or 100-yr discharge &gt; 0-yr discharge</v>
      </c>
      <c r="H18">
        <f t="shared" si="0"/>
        <v>18</v>
      </c>
      <c r="I18" s="102" t="s">
        <v>482</v>
      </c>
      <c r="J18" s="105"/>
      <c r="K18" s="105"/>
      <c r="L18" s="105">
        <v>25</v>
      </c>
      <c r="M18" s="105"/>
      <c r="N18" s="105"/>
    </row>
    <row r="19" spans="1:14" x14ac:dyDescent="0.3">
      <c r="A19" s="102" t="s">
        <v>9</v>
      </c>
      <c r="C19" s="106">
        <f>HLOOKUP($C$14,$J$1:$N$13,6)</f>
        <v>7.64</v>
      </c>
      <c r="G19" t="str">
        <f>"Drains to adjacent property:  2, 5, 10, 25, 50, or 100-yr discharge &gt; "&amp;C32&amp;"-yr discharge"</f>
        <v>Drains to adjacent property:  2, 5, 10, 25, 50, or 100-yr discharge &gt; 0-yr discharge</v>
      </c>
      <c r="H19">
        <f t="shared" si="0"/>
        <v>19</v>
      </c>
      <c r="I19" s="102" t="s">
        <v>483</v>
      </c>
      <c r="J19" s="105" t="s">
        <v>153</v>
      </c>
      <c r="K19" s="105" t="s">
        <v>153</v>
      </c>
      <c r="L19" s="105" t="s">
        <v>169</v>
      </c>
      <c r="M19" s="105" t="s">
        <v>153</v>
      </c>
      <c r="N19" s="105" t="s">
        <v>153</v>
      </c>
    </row>
    <row r="20" spans="1:14" x14ac:dyDescent="0.3">
      <c r="A20" s="102" t="s">
        <v>392</v>
      </c>
      <c r="C20" s="106">
        <f>HLOOKUP($C$14,$J$1:$N$13,7)</f>
        <v>8.8000000000000007</v>
      </c>
      <c r="G20" t="s">
        <v>469</v>
      </c>
      <c r="H20">
        <f t="shared" si="0"/>
        <v>20</v>
      </c>
      <c r="I20" s="102" t="s">
        <v>484</v>
      </c>
      <c r="J20" s="105"/>
      <c r="K20" s="105"/>
      <c r="L20" s="105">
        <v>25</v>
      </c>
      <c r="M20" s="105"/>
      <c r="N20" s="105"/>
    </row>
    <row r="21" spans="1:14" x14ac:dyDescent="0.3">
      <c r="A21" s="102" t="s">
        <v>10</v>
      </c>
      <c r="C21" s="106">
        <f>HLOOKUP($C$14,$J$1:$N$13,8)</f>
        <v>10</v>
      </c>
    </row>
    <row r="22" spans="1:14" x14ac:dyDescent="0.3">
      <c r="A22" s="102" t="s">
        <v>309</v>
      </c>
      <c r="C22" s="111" t="str">
        <f>HLOOKUP($C$14,$J$1:$N$13,9)</f>
        <v>1 October 2015</v>
      </c>
    </row>
    <row r="23" spans="1:14" x14ac:dyDescent="0.3">
      <c r="A23" s="102" t="s">
        <v>319</v>
      </c>
      <c r="C23" s="111" t="str">
        <f>HLOOKUP($C$14,$J$1:$N$13,10)</f>
        <v>City</v>
      </c>
    </row>
    <row r="24" spans="1:14" x14ac:dyDescent="0.3">
      <c r="A24" s="102" t="s">
        <v>317</v>
      </c>
      <c r="C24" s="111" t="str">
        <f>HLOOKUP($C$14,$J$1:$N$13,11)</f>
        <v xml:space="preserve"> O&amp;M Agreement</v>
      </c>
    </row>
    <row r="25" spans="1:14" x14ac:dyDescent="0.3">
      <c r="A25" s="102" t="s">
        <v>362</v>
      </c>
      <c r="C25" t="str">
        <f>HLOOKUP($C$14,$J$1:$N$13,12)</f>
        <v>ENG No.</v>
      </c>
    </row>
    <row r="26" spans="1:14" x14ac:dyDescent="0.3">
      <c r="A26" s="102" t="s">
        <v>364</v>
      </c>
      <c r="C26" s="106">
        <f>HLOOKUP($C$14,$J$1:$N$13,13)</f>
        <v>6</v>
      </c>
    </row>
    <row r="27" spans="1:14" x14ac:dyDescent="0.3">
      <c r="A27" s="102" t="s">
        <v>377</v>
      </c>
      <c r="C27" s="131" t="str">
        <f>HLOOKUP($C$14,$J$1:$N$14,14)</f>
        <v>30 Septbember</v>
      </c>
    </row>
    <row r="28" spans="1:14" x14ac:dyDescent="0.3">
      <c r="A28" s="102" t="s">
        <v>393</v>
      </c>
      <c r="C28" s="131" t="str">
        <f>HLOOKUP($C$14,$J$1:$N$15,15)</f>
        <v>2, 5, 10, and 25</v>
      </c>
    </row>
    <row r="29" spans="1:14" x14ac:dyDescent="0.3">
      <c r="A29" s="102" t="s">
        <v>476</v>
      </c>
      <c r="B29" s="148"/>
      <c r="C29" s="131" t="str">
        <f>HLOOKUP($C$14,$J$1:$N$17,17)</f>
        <v>No</v>
      </c>
    </row>
    <row r="30" spans="1:14" x14ac:dyDescent="0.3">
      <c r="A30" s="102" t="s">
        <v>482</v>
      </c>
      <c r="B30" s="148"/>
      <c r="C30" s="150">
        <f>HLOOKUP($C$14,$J$1:$N$20,18)</f>
        <v>0</v>
      </c>
    </row>
    <row r="31" spans="1:14" x14ac:dyDescent="0.3">
      <c r="A31" s="102" t="s">
        <v>483</v>
      </c>
      <c r="B31" s="148"/>
      <c r="C31" s="131" t="str">
        <f>HLOOKUP($C$14,$J$1:$N$20,19)</f>
        <v>No</v>
      </c>
    </row>
    <row r="32" spans="1:14" x14ac:dyDescent="0.3">
      <c r="A32" s="102" t="s">
        <v>484</v>
      </c>
      <c r="B32" s="148"/>
      <c r="C32" s="150">
        <f>HLOOKUP($C$14,$J$1:$N$20,20)</f>
        <v>0</v>
      </c>
    </row>
    <row r="35" spans="2:5" x14ac:dyDescent="0.3">
      <c r="E35" s="129" t="s">
        <v>355</v>
      </c>
    </row>
    <row r="36" spans="2:5" ht="60" customHeight="1" x14ac:dyDescent="0.3">
      <c r="B36" s="102" t="s">
        <v>164</v>
      </c>
    </row>
    <row r="37" spans="2:5" ht="60" customHeight="1" x14ac:dyDescent="0.3">
      <c r="B37" s="102" t="s">
        <v>306</v>
      </c>
    </row>
    <row r="38" spans="2:5" ht="60" customHeight="1" x14ac:dyDescent="0.3">
      <c r="B38" s="102" t="s">
        <v>166</v>
      </c>
    </row>
    <row r="39" spans="2:5" ht="60" customHeight="1" x14ac:dyDescent="0.3">
      <c r="B39" s="102" t="s">
        <v>163</v>
      </c>
    </row>
    <row r="40" spans="2:5" ht="60" customHeight="1" x14ac:dyDescent="0.3">
      <c r="B40" s="102" t="s">
        <v>165</v>
      </c>
    </row>
  </sheetData>
  <dataValidations count="1">
    <dataValidation type="list" allowBlank="1" showInputMessage="1" showErrorMessage="1" sqref="C14" xr:uid="{72F3BB5F-638F-49B0-81F5-3EA65ED35E7A}">
      <formula1>$J$1:$N$1</formula1>
    </dataValidation>
  </dataValidations>
  <pageMargins left="0.7" right="0.7" top="0.75" bottom="0.75" header="0.3" footer="0.3"/>
  <pageSetup orientation="portrait" horizontalDpi="1200" verticalDpi="1200" r:id="rId1"/>
  <drawing r:id="rId2"/>
  <legacyDrawing r:id="rId3"/>
  <tableParts count="4">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442E-5BDD-4EB7-ACA3-35258981D945}">
  <sheetPr codeName="Sheet4">
    <tabColor theme="2" tint="-0.499984740745262"/>
    <pageSetUpPr fitToPage="1"/>
  </sheetPr>
  <dimension ref="A1:T57"/>
  <sheetViews>
    <sheetView showGridLines="0" showRowColHeaders="0" tabSelected="1" zoomScale="130" zoomScaleNormal="130" workbookViewId="0">
      <selection activeCell="C4" sqref="C4:Q5"/>
    </sheetView>
  </sheetViews>
  <sheetFormatPr defaultColWidth="0" defaultRowHeight="0" customHeight="1" zeroHeight="1" x14ac:dyDescent="0.3"/>
  <cols>
    <col min="1" max="1" width="2.77734375" style="15" customWidth="1"/>
    <col min="2" max="2" width="5.77734375" style="14" customWidth="1"/>
    <col min="3" max="8" width="2.77734375" style="15" customWidth="1"/>
    <col min="9" max="17" width="8.88671875" style="15" customWidth="1"/>
    <col min="18" max="20" width="0" style="15" hidden="1" customWidth="1"/>
    <col min="21" max="16384" width="8.88671875" style="15" hidden="1"/>
  </cols>
  <sheetData>
    <row r="1" spans="2:17" ht="19.95" customHeight="1" x14ac:dyDescent="0.3"/>
    <row r="2" spans="2:17" ht="19.95" customHeight="1" x14ac:dyDescent="0.3">
      <c r="B2" s="62" t="s">
        <v>69</v>
      </c>
    </row>
    <row r="3" spans="2:17" ht="4.95" customHeight="1" x14ac:dyDescent="0.3">
      <c r="B3" s="62"/>
    </row>
    <row r="4" spans="2:17" ht="19.95" customHeight="1" x14ac:dyDescent="0.3">
      <c r="B4" s="14">
        <v>1</v>
      </c>
      <c r="C4" s="162" t="s">
        <v>370</v>
      </c>
      <c r="D4" s="162"/>
      <c r="E4" s="162"/>
      <c r="F4" s="162"/>
      <c r="G4" s="162"/>
      <c r="H4" s="162"/>
      <c r="I4" s="162"/>
      <c r="J4" s="162"/>
      <c r="K4" s="162"/>
      <c r="L4" s="162"/>
      <c r="M4" s="162"/>
      <c r="N4" s="162"/>
      <c r="O4" s="162"/>
      <c r="P4" s="162"/>
      <c r="Q4" s="162"/>
    </row>
    <row r="5" spans="2:17" ht="19.95" customHeight="1" x14ac:dyDescent="0.3">
      <c r="C5" s="162"/>
      <c r="D5" s="162"/>
      <c r="E5" s="162"/>
      <c r="F5" s="162"/>
      <c r="G5" s="162"/>
      <c r="H5" s="162"/>
      <c r="I5" s="162"/>
      <c r="J5" s="162"/>
      <c r="K5" s="162"/>
      <c r="L5" s="162"/>
      <c r="M5" s="162"/>
      <c r="N5" s="162"/>
      <c r="O5" s="162"/>
      <c r="P5" s="162"/>
      <c r="Q5" s="162"/>
    </row>
    <row r="6" spans="2:17" ht="19.95" customHeight="1" x14ac:dyDescent="0.3">
      <c r="B6" s="14">
        <f>B4+1</f>
        <v>2</v>
      </c>
      <c r="C6" s="15" t="s">
        <v>71</v>
      </c>
    </row>
    <row r="7" spans="2:17" ht="19.95" customHeight="1" x14ac:dyDescent="0.3">
      <c r="C7" s="16"/>
      <c r="D7" s="16"/>
      <c r="E7" s="16"/>
      <c r="F7" s="16"/>
      <c r="I7" s="15" t="s">
        <v>68</v>
      </c>
    </row>
    <row r="8" spans="2:17" ht="10.050000000000001" customHeight="1" x14ac:dyDescent="0.3"/>
    <row r="9" spans="2:17" ht="15" customHeight="1" x14ac:dyDescent="0.3">
      <c r="C9" s="17"/>
      <c r="D9" s="17"/>
      <c r="E9" s="17"/>
      <c r="F9" s="17"/>
      <c r="I9" s="163" t="s">
        <v>356</v>
      </c>
      <c r="J9" s="163"/>
      <c r="K9" s="163"/>
      <c r="L9" s="163"/>
      <c r="M9" s="163"/>
      <c r="N9" s="163"/>
      <c r="O9" s="163"/>
      <c r="P9" s="163"/>
      <c r="Q9" s="163"/>
    </row>
    <row r="10" spans="2:17" ht="15" customHeight="1" x14ac:dyDescent="0.3">
      <c r="I10" s="163"/>
      <c r="J10" s="163"/>
      <c r="K10" s="163"/>
      <c r="L10" s="163"/>
      <c r="M10" s="163"/>
      <c r="N10" s="163"/>
      <c r="O10" s="163"/>
      <c r="P10" s="163"/>
      <c r="Q10" s="163"/>
    </row>
    <row r="11" spans="2:17" ht="10.050000000000001" customHeight="1" x14ac:dyDescent="0.3">
      <c r="I11" s="64"/>
      <c r="J11" s="64"/>
      <c r="K11" s="64"/>
      <c r="L11" s="64"/>
      <c r="M11" s="64"/>
      <c r="N11" s="64"/>
      <c r="O11" s="64"/>
      <c r="P11" s="64"/>
      <c r="Q11" s="64"/>
    </row>
    <row r="12" spans="2:17" ht="15" customHeight="1" x14ac:dyDescent="0.3">
      <c r="F12" s="21"/>
      <c r="I12" s="163" t="s">
        <v>230</v>
      </c>
      <c r="J12" s="163"/>
      <c r="K12" s="163"/>
      <c r="L12" s="163"/>
      <c r="M12" s="163"/>
      <c r="N12" s="163"/>
      <c r="O12" s="163"/>
      <c r="P12" s="163"/>
      <c r="Q12" s="163"/>
    </row>
    <row r="13" spans="2:17" ht="15" customHeight="1" x14ac:dyDescent="0.3">
      <c r="I13" s="163"/>
      <c r="J13" s="163"/>
      <c r="K13" s="163"/>
      <c r="L13" s="163"/>
      <c r="M13" s="163"/>
      <c r="N13" s="163"/>
      <c r="O13" s="163"/>
      <c r="P13" s="163"/>
      <c r="Q13" s="163"/>
    </row>
    <row r="14" spans="2:17" ht="15" customHeight="1" x14ac:dyDescent="0.3">
      <c r="I14" s="163"/>
      <c r="J14" s="163"/>
      <c r="K14" s="163"/>
      <c r="L14" s="163"/>
      <c r="M14" s="163"/>
      <c r="N14" s="163"/>
      <c r="O14" s="163"/>
      <c r="P14" s="163"/>
      <c r="Q14" s="163"/>
    </row>
    <row r="15" spans="2:17" ht="15" customHeight="1" x14ac:dyDescent="0.3">
      <c r="I15" s="163"/>
      <c r="J15" s="163"/>
      <c r="K15" s="163"/>
      <c r="L15" s="163"/>
      <c r="M15" s="163"/>
      <c r="N15" s="163"/>
      <c r="O15" s="163"/>
      <c r="P15" s="163"/>
      <c r="Q15" s="163"/>
    </row>
    <row r="16" spans="2:17" ht="10.050000000000001" customHeight="1" x14ac:dyDescent="0.3">
      <c r="I16" s="65"/>
      <c r="J16" s="65"/>
      <c r="K16" s="65"/>
      <c r="L16" s="65"/>
      <c r="M16" s="65"/>
      <c r="N16" s="65"/>
      <c r="O16" s="65"/>
      <c r="P16" s="65"/>
      <c r="Q16" s="65"/>
    </row>
    <row r="17" spans="3:17" ht="15" customHeight="1" x14ac:dyDescent="0.3">
      <c r="C17" s="21"/>
      <c r="D17" s="39" t="s">
        <v>130</v>
      </c>
      <c r="E17" s="39"/>
      <c r="F17" s="21"/>
      <c r="G17" s="39" t="s">
        <v>131</v>
      </c>
      <c r="I17" s="163" t="s">
        <v>197</v>
      </c>
      <c r="J17" s="163"/>
      <c r="K17" s="163"/>
      <c r="L17" s="163"/>
      <c r="M17" s="163"/>
      <c r="N17" s="163"/>
      <c r="O17" s="163"/>
      <c r="P17" s="163"/>
      <c r="Q17" s="163"/>
    </row>
    <row r="18" spans="3:17" ht="15" customHeight="1" x14ac:dyDescent="0.3">
      <c r="I18" s="163"/>
      <c r="J18" s="163"/>
      <c r="K18" s="163"/>
      <c r="L18" s="163"/>
      <c r="M18" s="163"/>
      <c r="N18" s="163"/>
      <c r="O18" s="163"/>
      <c r="P18" s="163"/>
      <c r="Q18" s="163"/>
    </row>
    <row r="19" spans="3:17" ht="10.050000000000001" customHeight="1" x14ac:dyDescent="0.3"/>
    <row r="20" spans="3:17" ht="15" customHeight="1" x14ac:dyDescent="0.3">
      <c r="C20" s="18"/>
      <c r="D20" s="18"/>
      <c r="E20" s="18"/>
      <c r="F20" s="18"/>
      <c r="I20" s="163" t="s">
        <v>70</v>
      </c>
      <c r="J20" s="163"/>
      <c r="K20" s="163"/>
      <c r="L20" s="163"/>
      <c r="M20" s="163"/>
      <c r="N20" s="163"/>
      <c r="O20" s="163"/>
      <c r="P20" s="163"/>
      <c r="Q20" s="163"/>
    </row>
    <row r="21" spans="3:17" ht="15" customHeight="1" x14ac:dyDescent="0.3">
      <c r="I21" s="163"/>
      <c r="J21" s="163"/>
      <c r="K21" s="163"/>
      <c r="L21" s="163"/>
      <c r="M21" s="163"/>
      <c r="N21" s="163"/>
      <c r="O21" s="163"/>
      <c r="P21" s="163"/>
      <c r="Q21" s="163"/>
    </row>
    <row r="22" spans="3:17" ht="15" customHeight="1" x14ac:dyDescent="0.3">
      <c r="I22" s="163"/>
      <c r="J22" s="163"/>
      <c r="K22" s="163"/>
      <c r="L22" s="163"/>
      <c r="M22" s="163"/>
      <c r="N22" s="163"/>
      <c r="O22" s="163"/>
      <c r="P22" s="163"/>
      <c r="Q22" s="163"/>
    </row>
    <row r="23" spans="3:17" ht="19.95" customHeight="1" x14ac:dyDescent="0.3">
      <c r="I23" s="163"/>
      <c r="J23" s="163"/>
      <c r="K23" s="163"/>
      <c r="L23" s="163"/>
      <c r="M23" s="163"/>
      <c r="N23" s="163"/>
      <c r="O23" s="163"/>
      <c r="P23" s="163"/>
      <c r="Q23" s="163"/>
    </row>
    <row r="24" spans="3:17" ht="10.050000000000001" customHeight="1" x14ac:dyDescent="0.3">
      <c r="I24" s="65"/>
      <c r="J24" s="65"/>
      <c r="K24" s="65"/>
      <c r="L24" s="65"/>
      <c r="M24" s="65"/>
      <c r="N24" s="65"/>
      <c r="O24" s="65"/>
      <c r="P24" s="65"/>
      <c r="Q24" s="65"/>
    </row>
    <row r="25" spans="3:17" ht="15" customHeight="1" x14ac:dyDescent="0.3">
      <c r="C25" s="19"/>
      <c r="D25" s="19"/>
      <c r="E25" s="19"/>
      <c r="F25" s="19"/>
      <c r="I25" s="163" t="s">
        <v>120</v>
      </c>
      <c r="J25" s="163"/>
      <c r="K25" s="163"/>
      <c r="L25" s="163"/>
      <c r="M25" s="163"/>
      <c r="N25" s="163"/>
      <c r="O25" s="163"/>
      <c r="P25" s="163"/>
      <c r="Q25" s="163"/>
    </row>
    <row r="26" spans="3:17" ht="15" customHeight="1" x14ac:dyDescent="0.3">
      <c r="I26" s="163"/>
      <c r="J26" s="163"/>
      <c r="K26" s="163"/>
      <c r="L26" s="163"/>
      <c r="M26" s="163"/>
      <c r="N26" s="163"/>
      <c r="O26" s="163"/>
      <c r="P26" s="163"/>
      <c r="Q26" s="163"/>
    </row>
    <row r="27" spans="3:17" ht="10.050000000000001" customHeight="1" x14ac:dyDescent="0.3"/>
    <row r="28" spans="3:17" ht="19.95" customHeight="1" x14ac:dyDescent="0.3">
      <c r="C28" s="20" t="s">
        <v>32</v>
      </c>
      <c r="D28" s="20"/>
      <c r="E28" s="20"/>
      <c r="F28" s="20"/>
      <c r="I28" s="15" t="s">
        <v>371</v>
      </c>
    </row>
    <row r="29" spans="3:17" ht="10.050000000000001" customHeight="1" x14ac:dyDescent="0.3"/>
    <row r="30" spans="3:17" ht="19.95" customHeight="1" x14ac:dyDescent="0.3">
      <c r="C30" s="5" t="s">
        <v>34</v>
      </c>
      <c r="D30" s="5"/>
      <c r="E30" s="5"/>
      <c r="F30" s="5"/>
      <c r="I30" s="15" t="s">
        <v>73</v>
      </c>
    </row>
    <row r="31" spans="3:17" ht="10.050000000000001" customHeight="1" x14ac:dyDescent="0.3"/>
    <row r="32" spans="3:17" ht="19.95" customHeight="1" x14ac:dyDescent="0.3">
      <c r="C32" s="5" t="s">
        <v>24</v>
      </c>
      <c r="D32" s="5"/>
      <c r="E32" s="5"/>
      <c r="F32" s="5"/>
      <c r="I32" s="15" t="s">
        <v>121</v>
      </c>
    </row>
    <row r="33" spans="2:17" ht="10.050000000000001" customHeight="1" x14ac:dyDescent="0.3"/>
    <row r="34" spans="2:17" ht="19.95" customHeight="1" x14ac:dyDescent="0.3">
      <c r="B34" s="14">
        <f>B6+1</f>
        <v>3</v>
      </c>
      <c r="C34" s="15" t="s">
        <v>232</v>
      </c>
    </row>
    <row r="35" spans="2:17" ht="19.95" customHeight="1" x14ac:dyDescent="0.3">
      <c r="B35" s="14">
        <f>B34+1</f>
        <v>4</v>
      </c>
      <c r="C35" s="163" t="s">
        <v>231</v>
      </c>
      <c r="D35" s="163"/>
      <c r="E35" s="163"/>
      <c r="F35" s="163"/>
      <c r="G35" s="163"/>
      <c r="H35" s="163"/>
      <c r="I35" s="163"/>
      <c r="J35" s="163"/>
      <c r="K35" s="163"/>
      <c r="L35" s="163"/>
      <c r="M35" s="163"/>
      <c r="N35" s="163"/>
      <c r="O35" s="163"/>
      <c r="P35" s="163"/>
      <c r="Q35" s="163"/>
    </row>
    <row r="36" spans="2:17" ht="15" customHeight="1" x14ac:dyDescent="0.3">
      <c r="C36" s="163"/>
      <c r="D36" s="163"/>
      <c r="E36" s="163"/>
      <c r="F36" s="163"/>
      <c r="G36" s="163"/>
      <c r="H36" s="163"/>
      <c r="I36" s="163"/>
      <c r="J36" s="163"/>
      <c r="K36" s="163"/>
      <c r="L36" s="163"/>
      <c r="M36" s="163"/>
      <c r="N36" s="163"/>
      <c r="O36" s="163"/>
      <c r="P36" s="163"/>
      <c r="Q36" s="163"/>
    </row>
    <row r="37" spans="2:17" ht="19.95" customHeight="1" x14ac:dyDescent="0.3">
      <c r="B37" s="14">
        <v>5</v>
      </c>
      <c r="C37" s="162" t="s">
        <v>198</v>
      </c>
      <c r="D37" s="162"/>
      <c r="E37" s="162"/>
      <c r="F37" s="162"/>
      <c r="G37" s="162"/>
      <c r="H37" s="162"/>
      <c r="I37" s="162"/>
      <c r="J37" s="162"/>
      <c r="K37" s="162"/>
      <c r="L37" s="162"/>
      <c r="M37" s="162"/>
      <c r="N37" s="162"/>
      <c r="O37" s="162"/>
      <c r="P37" s="162"/>
      <c r="Q37" s="162"/>
    </row>
    <row r="38" spans="2:17" ht="19.95" customHeight="1" x14ac:dyDescent="0.3">
      <c r="C38" s="162"/>
      <c r="D38" s="162"/>
      <c r="E38" s="162"/>
      <c r="F38" s="162"/>
      <c r="G38" s="162"/>
      <c r="H38" s="162"/>
      <c r="I38" s="162"/>
      <c r="J38" s="162"/>
      <c r="K38" s="162"/>
      <c r="L38" s="162"/>
      <c r="M38" s="162"/>
      <c r="N38" s="162"/>
      <c r="O38" s="162"/>
      <c r="P38" s="162"/>
      <c r="Q38" s="162"/>
    </row>
    <row r="39" spans="2:17" ht="12" customHeight="1" x14ac:dyDescent="0.3">
      <c r="C39" s="162"/>
      <c r="D39" s="162"/>
      <c r="E39" s="162"/>
      <c r="F39" s="162"/>
      <c r="G39" s="162"/>
      <c r="H39" s="162"/>
      <c r="I39" s="162"/>
      <c r="J39" s="162"/>
      <c r="K39" s="162"/>
      <c r="L39" s="162"/>
      <c r="M39" s="162"/>
      <c r="N39" s="162"/>
      <c r="O39" s="162"/>
      <c r="P39" s="162"/>
      <c r="Q39" s="162"/>
    </row>
    <row r="40" spans="2:17" ht="19.95" customHeight="1" x14ac:dyDescent="0.3">
      <c r="B40" s="14">
        <v>6</v>
      </c>
      <c r="C40" s="15" t="s">
        <v>326</v>
      </c>
    </row>
    <row r="41" spans="2:17" ht="19.95" customHeight="1" x14ac:dyDescent="0.3"/>
    <row r="42" spans="2:17" ht="19.95" customHeight="1" x14ac:dyDescent="0.3"/>
    <row r="43" spans="2:17" ht="19.95" customHeight="1" x14ac:dyDescent="0.3"/>
    <row r="44" spans="2:17" ht="19.95" customHeight="1" x14ac:dyDescent="0.3"/>
    <row r="45" spans="2:17" ht="19.95" customHeight="1" x14ac:dyDescent="0.3"/>
    <row r="46" spans="2:17" ht="19.95" customHeight="1" x14ac:dyDescent="0.3"/>
    <row r="47" spans="2:17" ht="19.95" customHeight="1" x14ac:dyDescent="0.3"/>
    <row r="48" spans="2:17"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sheetData>
  <sheetProtection algorithmName="SHA-512" hashValue="4FNE9Rv4rA+WnrrJM+gqCqAUge/DgGNG00AoxgummN2DOwqU9Lbanu3HXmClQE7rh/zxdBs6uH0c9Q0jF45iLg==" saltValue="wP7a+6UcVHoYURl0Dexvmw==" spinCount="100000" sheet="1" objects="1" scenarios="1" selectLockedCells="1"/>
  <mergeCells count="8">
    <mergeCell ref="C37:Q39"/>
    <mergeCell ref="C4:Q5"/>
    <mergeCell ref="I9:Q10"/>
    <mergeCell ref="I25:Q26"/>
    <mergeCell ref="C35:Q36"/>
    <mergeCell ref="I20:Q23"/>
    <mergeCell ref="I17:Q18"/>
    <mergeCell ref="I12:Q15"/>
  </mergeCells>
  <conditionalFormatting sqref="C17">
    <cfRule type="expression" dxfId="315" priority="2">
      <formula>ISBLANK(C17)</formula>
    </cfRule>
  </conditionalFormatting>
  <conditionalFormatting sqref="C9:F9">
    <cfRule type="expression" dxfId="314" priority="5">
      <formula>ISBLANK(C9)</formula>
    </cfRule>
  </conditionalFormatting>
  <conditionalFormatting sqref="F12">
    <cfRule type="expression" dxfId="313" priority="4">
      <formula>ISBLANK(F12)</formula>
    </cfRule>
  </conditionalFormatting>
  <conditionalFormatting sqref="F17">
    <cfRule type="expression" dxfId="312" priority="1">
      <formula>ISBLANK(F17)</formula>
    </cfRule>
  </conditionalFormatting>
  <pageMargins left="0.2" right="0.2" top="0.5" bottom="0.25" header="0.3" footer="0.3"/>
  <pageSetup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AB6BEEF-B1DA-4646-852C-94D854C30A2A}">
          <x14:formula1>
            <xm:f>Tables!$E$2:$E$4</xm:f>
          </x14:formula1>
          <xm:sqref>C28:F28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BCFA-678D-4F47-972D-31E458267710}">
  <sheetPr codeName="Sheet5">
    <tabColor theme="9" tint="0.39997558519241921"/>
  </sheetPr>
  <dimension ref="A1:CP215"/>
  <sheetViews>
    <sheetView showGridLines="0" showRowColHeaders="0" showZeros="0" zoomScale="150" zoomScaleNormal="150" workbookViewId="0">
      <selection activeCell="E13" sqref="E13:X13"/>
    </sheetView>
  </sheetViews>
  <sheetFormatPr defaultColWidth="0" defaultRowHeight="0" customHeight="1" zeroHeight="1" x14ac:dyDescent="0.3"/>
  <cols>
    <col min="1" max="1" width="1.77734375" style="39" customWidth="1"/>
    <col min="2" max="36" width="2.77734375" style="39" customWidth="1"/>
    <col min="37" max="37" width="1.77734375" style="39" customWidth="1"/>
    <col min="38" max="38" width="10.33203125" style="13" hidden="1" customWidth="1"/>
    <col min="39" max="39" width="7.21875" style="13" hidden="1" customWidth="1"/>
    <col min="40" max="43" width="8.77734375" style="13" hidden="1" customWidth="1"/>
    <col min="44" max="44" width="2.77734375" style="39" customWidth="1"/>
    <col min="45" max="45" width="3.77734375" style="39" customWidth="1"/>
    <col min="46" max="79" width="2.77734375" style="39" customWidth="1"/>
    <col min="80" max="82" width="2.77734375" style="39" hidden="1" customWidth="1"/>
    <col min="83" max="83" width="8.77734375" style="39" hidden="1" customWidth="1"/>
    <col min="84" max="94" width="0" style="39" hidden="1" customWidth="1"/>
    <col min="95" max="16384" width="8.88671875" style="39" hidden="1"/>
  </cols>
  <sheetData>
    <row r="1" spans="1:94" ht="15" customHeight="1" x14ac:dyDescent="0.3">
      <c r="O1" s="3"/>
      <c r="P1" s="3"/>
      <c r="Q1" s="3"/>
      <c r="S1" s="25"/>
      <c r="T1" s="176" t="s">
        <v>234</v>
      </c>
      <c r="U1" s="176"/>
      <c r="V1" s="176"/>
      <c r="W1" s="176"/>
      <c r="X1" s="176"/>
      <c r="Y1" s="176"/>
      <c r="Z1" s="176"/>
      <c r="AA1" s="176"/>
      <c r="AB1" s="176"/>
      <c r="AC1" s="176"/>
      <c r="AD1" s="176"/>
      <c r="AE1" s="176"/>
      <c r="AF1" s="176"/>
      <c r="AG1" s="176"/>
      <c r="AH1" s="176"/>
      <c r="AI1" s="176"/>
      <c r="AJ1" s="176"/>
      <c r="AK1" s="176"/>
      <c r="AL1" s="82"/>
      <c r="AM1" s="82"/>
      <c r="AN1" s="82"/>
      <c r="AO1" s="82"/>
      <c r="AP1" s="82"/>
      <c r="AQ1" s="82"/>
      <c r="AR1" s="25"/>
      <c r="BI1" s="25"/>
      <c r="BJ1" s="176" t="str">
        <f>T1</f>
        <v>Form 2D - Bioretention Area
Design Form</v>
      </c>
      <c r="BK1" s="176"/>
      <c r="BL1" s="176"/>
      <c r="BM1" s="176"/>
      <c r="BN1" s="176"/>
      <c r="BO1" s="176"/>
      <c r="BP1" s="176"/>
      <c r="BQ1" s="176"/>
      <c r="BR1" s="176"/>
      <c r="BS1" s="176"/>
      <c r="BT1" s="176"/>
      <c r="BU1" s="176"/>
      <c r="BV1" s="176"/>
      <c r="BW1" s="176"/>
      <c r="BX1" s="176"/>
      <c r="BY1" s="176"/>
      <c r="BZ1" s="176"/>
      <c r="CK1" s="83"/>
      <c r="CL1" s="83"/>
      <c r="CM1" s="83"/>
      <c r="CN1" s="83"/>
      <c r="CO1" s="83"/>
      <c r="CP1" s="83"/>
    </row>
    <row r="2" spans="1:94" ht="15" customHeight="1" x14ac:dyDescent="0.3">
      <c r="J2" s="3"/>
      <c r="K2" s="3"/>
      <c r="L2" s="3"/>
      <c r="M2" s="3"/>
      <c r="N2" s="3"/>
      <c r="O2" s="3"/>
      <c r="P2" s="3"/>
      <c r="Q2" s="3"/>
      <c r="R2" s="25"/>
      <c r="S2" s="25"/>
      <c r="T2" s="176"/>
      <c r="U2" s="176"/>
      <c r="V2" s="176"/>
      <c r="W2" s="176"/>
      <c r="X2" s="176"/>
      <c r="Y2" s="176"/>
      <c r="Z2" s="176"/>
      <c r="AA2" s="176"/>
      <c r="AB2" s="176"/>
      <c r="AC2" s="176"/>
      <c r="AD2" s="176"/>
      <c r="AE2" s="176"/>
      <c r="AF2" s="176"/>
      <c r="AG2" s="176"/>
      <c r="AH2" s="176"/>
      <c r="AI2" s="176"/>
      <c r="AJ2" s="176"/>
      <c r="AK2" s="176"/>
      <c r="AL2" s="82"/>
      <c r="AM2" s="82"/>
      <c r="AN2" s="82"/>
      <c r="AO2" s="82"/>
      <c r="AP2" s="82"/>
      <c r="BH2" s="25"/>
      <c r="BI2" s="25"/>
      <c r="BJ2" s="176"/>
      <c r="BK2" s="176"/>
      <c r="BL2" s="176"/>
      <c r="BM2" s="176"/>
      <c r="BN2" s="176"/>
      <c r="BO2" s="176"/>
      <c r="BP2" s="176"/>
      <c r="BQ2" s="176"/>
      <c r="BR2" s="176"/>
      <c r="BS2" s="176"/>
      <c r="BT2" s="176"/>
      <c r="BU2" s="176"/>
      <c r="BV2" s="176"/>
      <c r="BW2" s="176"/>
      <c r="BX2" s="176"/>
      <c r="BY2" s="176"/>
      <c r="BZ2" s="176"/>
      <c r="CE2" s="83"/>
      <c r="CK2" s="83"/>
      <c r="CL2" s="83"/>
      <c r="CM2" s="83"/>
      <c r="CN2" s="83"/>
      <c r="CO2" s="83"/>
      <c r="CP2" s="83"/>
    </row>
    <row r="3" spans="1:94" ht="15" customHeight="1" x14ac:dyDescent="0.3">
      <c r="J3" s="3"/>
      <c r="K3" s="3"/>
      <c r="L3" s="3"/>
      <c r="M3" s="3"/>
      <c r="N3" s="3"/>
      <c r="O3" s="3"/>
      <c r="P3" s="3"/>
      <c r="Q3" s="3"/>
      <c r="R3" s="25"/>
      <c r="S3" s="25"/>
      <c r="T3" s="176"/>
      <c r="U3" s="176"/>
      <c r="V3" s="176"/>
      <c r="W3" s="176"/>
      <c r="X3" s="176"/>
      <c r="Y3" s="176"/>
      <c r="Z3" s="176"/>
      <c r="AA3" s="176"/>
      <c r="AB3" s="176"/>
      <c r="AC3" s="176"/>
      <c r="AD3" s="176"/>
      <c r="AE3" s="176"/>
      <c r="AF3" s="176"/>
      <c r="AG3" s="176"/>
      <c r="AH3" s="176"/>
      <c r="AI3" s="176"/>
      <c r="AJ3" s="176"/>
      <c r="AK3" s="176"/>
      <c r="AL3" s="82"/>
      <c r="AM3" s="82"/>
      <c r="AN3" s="82"/>
      <c r="AO3" s="82"/>
      <c r="AP3" s="82"/>
      <c r="BH3" s="25"/>
      <c r="BI3" s="25"/>
      <c r="BJ3" s="176"/>
      <c r="BK3" s="176"/>
      <c r="BL3" s="176"/>
      <c r="BM3" s="176"/>
      <c r="BN3" s="176"/>
      <c r="BO3" s="176"/>
      <c r="BP3" s="176"/>
      <c r="BQ3" s="176"/>
      <c r="BR3" s="176"/>
      <c r="BS3" s="176"/>
      <c r="BT3" s="176"/>
      <c r="BU3" s="176"/>
      <c r="BV3" s="176"/>
      <c r="BW3" s="176"/>
      <c r="BX3" s="176"/>
      <c r="BY3" s="176"/>
      <c r="BZ3" s="176"/>
      <c r="CE3" s="83"/>
      <c r="CK3" s="83"/>
      <c r="CL3" s="83"/>
      <c r="CM3" s="83"/>
      <c r="CN3" s="83"/>
      <c r="CO3" s="83"/>
      <c r="CP3" s="83"/>
    </row>
    <row r="4" spans="1:94" ht="15" customHeight="1" x14ac:dyDescent="0.3">
      <c r="J4" s="3"/>
      <c r="K4" s="3"/>
      <c r="L4" s="3"/>
      <c r="M4" s="3"/>
      <c r="N4" s="3"/>
      <c r="O4" s="3"/>
      <c r="P4" s="3"/>
      <c r="Q4" s="3"/>
      <c r="R4" s="25"/>
      <c r="S4" s="25"/>
      <c r="T4" s="176"/>
      <c r="U4" s="176"/>
      <c r="V4" s="176"/>
      <c r="W4" s="176"/>
      <c r="X4" s="176"/>
      <c r="Y4" s="176"/>
      <c r="Z4" s="176"/>
      <c r="AA4" s="176"/>
      <c r="AB4" s="176"/>
      <c r="AC4" s="176"/>
      <c r="AD4" s="176"/>
      <c r="AE4" s="176"/>
      <c r="AF4" s="176"/>
      <c r="AG4" s="176"/>
      <c r="AH4" s="176"/>
      <c r="AI4" s="176"/>
      <c r="AJ4" s="176"/>
      <c r="AK4" s="176"/>
      <c r="AL4" s="82"/>
      <c r="AM4" s="82"/>
      <c r="AN4" s="82"/>
      <c r="AO4" s="82"/>
      <c r="AP4" s="82"/>
      <c r="BH4" s="25"/>
      <c r="BI4" s="25"/>
      <c r="BJ4" s="176"/>
      <c r="BK4" s="176"/>
      <c r="BL4" s="176"/>
      <c r="BM4" s="176"/>
      <c r="BN4" s="176"/>
      <c r="BO4" s="176"/>
      <c r="BP4" s="176"/>
      <c r="BQ4" s="176"/>
      <c r="BR4" s="176"/>
      <c r="BS4" s="176"/>
      <c r="BT4" s="176"/>
      <c r="BU4" s="176"/>
      <c r="BV4" s="176"/>
      <c r="BW4" s="176"/>
      <c r="BX4" s="176"/>
      <c r="BY4" s="176"/>
      <c r="BZ4" s="176"/>
      <c r="CE4" s="83"/>
      <c r="CK4" s="83"/>
      <c r="CL4" s="83"/>
      <c r="CM4" s="83"/>
      <c r="CN4" s="83"/>
      <c r="CO4" s="83"/>
      <c r="CP4" s="83"/>
    </row>
    <row r="5" spans="1:94" ht="4.95" customHeight="1" x14ac:dyDescent="0.3">
      <c r="J5" s="3"/>
      <c r="K5" s="3"/>
      <c r="L5" s="3"/>
      <c r="M5" s="3"/>
      <c r="N5" s="3"/>
      <c r="O5" s="3"/>
      <c r="P5" s="3"/>
      <c r="Q5" s="3"/>
      <c r="R5" s="26"/>
      <c r="S5" s="26"/>
      <c r="T5" s="26"/>
      <c r="U5" s="26"/>
      <c r="V5" s="26"/>
      <c r="W5" s="26"/>
      <c r="X5" s="26"/>
      <c r="Y5" s="26"/>
      <c r="Z5" s="26"/>
      <c r="AA5" s="26"/>
      <c r="AB5" s="26"/>
      <c r="AC5" s="26"/>
      <c r="AD5" s="26"/>
      <c r="AE5" s="26"/>
      <c r="AF5" s="26"/>
      <c r="AG5" s="26"/>
      <c r="AH5" s="26"/>
      <c r="AI5" s="26"/>
      <c r="AJ5" s="26"/>
      <c r="AL5" s="82"/>
      <c r="AM5" s="82"/>
      <c r="AN5" s="82"/>
      <c r="AO5" s="82"/>
      <c r="AP5" s="82"/>
    </row>
    <row r="6" spans="1:94" ht="15" customHeight="1" x14ac:dyDescent="0.3">
      <c r="A6" s="27"/>
      <c r="B6" s="28" t="s">
        <v>123</v>
      </c>
      <c r="C6" s="28"/>
      <c r="D6" s="28"/>
      <c r="E6" s="28"/>
      <c r="F6" s="28"/>
      <c r="G6" s="28"/>
      <c r="H6" s="28"/>
      <c r="I6" s="28"/>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30"/>
      <c r="AL6" s="82"/>
      <c r="AM6" s="82"/>
      <c r="AN6" s="82"/>
      <c r="AO6" s="82"/>
      <c r="AP6" s="82"/>
      <c r="AS6" s="168" t="s">
        <v>72</v>
      </c>
      <c r="AT6" s="168"/>
      <c r="AU6" s="168"/>
      <c r="AV6" s="168"/>
      <c r="AW6" s="168"/>
      <c r="AX6" s="168"/>
      <c r="AY6" s="168"/>
      <c r="AZ6" s="168"/>
      <c r="BA6" s="168"/>
      <c r="BB6" s="168"/>
      <c r="BC6" s="168"/>
      <c r="BD6" s="168"/>
      <c r="BE6" s="168"/>
      <c r="BF6" s="168"/>
      <c r="BG6" s="74"/>
      <c r="BH6" s="74"/>
      <c r="BI6" s="74"/>
      <c r="BJ6" s="74"/>
      <c r="BK6" s="74"/>
      <c r="BL6" s="74"/>
      <c r="BM6" s="74"/>
      <c r="BN6" s="74"/>
      <c r="BO6" s="74"/>
      <c r="BP6" s="74"/>
      <c r="BQ6" s="74"/>
      <c r="BR6" s="74"/>
      <c r="BS6" s="74"/>
      <c r="BT6" s="74"/>
      <c r="BU6" s="74"/>
      <c r="BV6" s="74"/>
      <c r="BW6" s="74"/>
      <c r="BX6" s="74"/>
      <c r="BY6" s="74"/>
      <c r="BZ6" s="74"/>
      <c r="CA6" s="74"/>
      <c r="CB6" s="74"/>
      <c r="CC6" s="74"/>
      <c r="CD6" s="74"/>
      <c r="CE6" s="74"/>
    </row>
    <row r="7" spans="1:94" ht="15" customHeight="1" x14ac:dyDescent="0.3">
      <c r="A7" s="31"/>
      <c r="B7" s="10" t="s">
        <v>64</v>
      </c>
      <c r="C7" s="10"/>
      <c r="D7" s="10"/>
      <c r="E7" s="66"/>
      <c r="F7" s="66"/>
      <c r="G7" s="66"/>
      <c r="H7" s="66"/>
      <c r="I7" s="66"/>
      <c r="J7" s="66"/>
      <c r="K7" s="66"/>
      <c r="L7" s="66"/>
      <c r="M7" s="66"/>
      <c r="N7" s="66"/>
      <c r="O7" s="66"/>
      <c r="P7" s="66"/>
      <c r="Q7" s="66"/>
      <c r="R7" s="66"/>
      <c r="S7" s="66"/>
      <c r="T7" s="66"/>
      <c r="U7" s="66"/>
      <c r="V7" s="66"/>
      <c r="W7" s="66"/>
      <c r="X7" s="66"/>
      <c r="Y7" s="66"/>
      <c r="Z7" s="66"/>
      <c r="AA7" s="66"/>
      <c r="AB7" s="66"/>
      <c r="AC7" s="10"/>
      <c r="AD7" s="10"/>
      <c r="AE7" s="32" t="s">
        <v>21</v>
      </c>
      <c r="AF7" s="66"/>
      <c r="AG7" s="66"/>
      <c r="AH7" s="66"/>
      <c r="AI7" s="66"/>
      <c r="AJ7" s="66"/>
      <c r="AK7" s="33"/>
      <c r="AL7" s="82"/>
      <c r="AM7" s="82"/>
      <c r="AN7" s="82"/>
      <c r="AO7" s="82"/>
      <c r="AP7" s="82"/>
      <c r="AS7" s="168"/>
      <c r="AT7" s="168"/>
      <c r="AU7" s="168"/>
      <c r="AV7" s="168"/>
      <c r="AW7" s="168"/>
      <c r="AX7" s="168"/>
      <c r="AY7" s="168"/>
      <c r="AZ7" s="168"/>
      <c r="BA7" s="168"/>
      <c r="BB7" s="168"/>
      <c r="BC7" s="168"/>
      <c r="BD7" s="168"/>
      <c r="BE7" s="168"/>
      <c r="BF7" s="168"/>
      <c r="BG7" s="74"/>
      <c r="BH7" s="74"/>
      <c r="BI7" s="74"/>
      <c r="BJ7" s="74"/>
      <c r="BK7" s="74"/>
      <c r="BL7" s="74"/>
      <c r="BM7" s="74"/>
      <c r="BN7" s="74"/>
      <c r="BO7" s="74"/>
      <c r="BP7" s="74"/>
      <c r="BQ7" s="74"/>
      <c r="BR7" s="74"/>
      <c r="BS7" s="74"/>
      <c r="BT7" s="74"/>
      <c r="BU7" s="74"/>
      <c r="BV7" s="74"/>
      <c r="BW7" s="74"/>
      <c r="BX7" s="74"/>
      <c r="BY7" s="74"/>
      <c r="BZ7" s="74"/>
      <c r="CA7" s="74"/>
      <c r="CB7" s="74"/>
      <c r="CC7" s="74"/>
      <c r="CD7" s="74"/>
      <c r="CE7" s="74"/>
    </row>
    <row r="8" spans="1:94" ht="4.95" customHeight="1" x14ac:dyDescent="0.3">
      <c r="A8" s="31"/>
      <c r="B8" s="10"/>
      <c r="C8" s="10"/>
      <c r="D8" s="10"/>
      <c r="E8" s="10"/>
      <c r="F8" s="10"/>
      <c r="G8" s="10"/>
      <c r="H8" s="10"/>
      <c r="I8" s="10"/>
      <c r="J8" s="10"/>
      <c r="K8" s="10"/>
      <c r="L8" s="10"/>
      <c r="M8" s="10"/>
      <c r="N8" s="10"/>
      <c r="O8" s="10"/>
      <c r="P8" s="10"/>
      <c r="Q8" s="10"/>
      <c r="R8" s="10"/>
      <c r="S8" s="10"/>
      <c r="T8" s="10"/>
      <c r="U8" s="10"/>
      <c r="V8" s="10"/>
      <c r="W8" s="10"/>
      <c r="X8" s="10"/>
      <c r="Y8" s="10"/>
      <c r="Z8" s="32"/>
      <c r="AA8" s="12"/>
      <c r="AB8" s="12"/>
      <c r="AC8" s="12"/>
      <c r="AD8" s="12"/>
      <c r="AE8" s="10"/>
      <c r="AF8" s="10"/>
      <c r="AG8" s="10"/>
      <c r="AH8" s="12"/>
      <c r="AI8" s="12"/>
      <c r="AJ8" s="12"/>
      <c r="AK8" s="33"/>
      <c r="AL8" s="82"/>
      <c r="AM8" s="82"/>
      <c r="AN8" s="82"/>
      <c r="AO8" s="82"/>
      <c r="AP8" s="82"/>
    </row>
    <row r="9" spans="1:94" ht="15" customHeight="1" x14ac:dyDescent="0.3">
      <c r="A9" s="31"/>
      <c r="B9" s="10" t="s">
        <v>22</v>
      </c>
      <c r="C9" s="10"/>
      <c r="D9" s="10"/>
      <c r="E9" s="10"/>
      <c r="F9" s="10"/>
      <c r="G9" s="84"/>
      <c r="H9" s="10" t="s">
        <v>132</v>
      </c>
      <c r="I9" s="10"/>
      <c r="J9" s="10"/>
      <c r="K9" s="10"/>
      <c r="L9" s="10"/>
      <c r="M9" s="10"/>
      <c r="N9" s="84"/>
      <c r="O9" s="10" t="s">
        <v>133</v>
      </c>
      <c r="P9" s="10"/>
      <c r="Q9" s="10"/>
      <c r="R9" s="10"/>
      <c r="S9" s="10"/>
      <c r="T9" s="10"/>
      <c r="U9" s="10"/>
      <c r="V9" s="10"/>
      <c r="W9" s="84"/>
      <c r="X9" s="10" t="s">
        <v>134</v>
      </c>
      <c r="Y9" s="10"/>
      <c r="Z9" s="10"/>
      <c r="AA9" s="10"/>
      <c r="AB9" s="10"/>
      <c r="AC9" s="10"/>
      <c r="AD9" s="84"/>
      <c r="AE9" s="10" t="s">
        <v>135</v>
      </c>
      <c r="AF9" s="85"/>
      <c r="AG9" s="10"/>
      <c r="AH9" s="10"/>
      <c r="AI9" s="10"/>
      <c r="AJ9" s="10"/>
      <c r="AK9" s="33"/>
      <c r="AL9" s="82"/>
      <c r="AM9" s="82"/>
      <c r="AN9" s="82"/>
      <c r="AO9" s="82"/>
      <c r="AP9" s="82"/>
      <c r="AS9" s="115" t="s">
        <v>124</v>
      </c>
      <c r="AT9" s="115"/>
      <c r="AU9" s="115"/>
      <c r="AV9" s="115"/>
      <c r="AW9" s="112"/>
      <c r="AX9" s="112"/>
      <c r="AY9" s="112"/>
      <c r="AZ9" s="112"/>
      <c r="BA9" s="112"/>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row>
    <row r="10" spans="1:94" ht="15" customHeight="1" x14ac:dyDescent="0.3">
      <c r="A10" s="31"/>
      <c r="B10" s="12" t="s">
        <v>186</v>
      </c>
      <c r="C10" s="10"/>
      <c r="D10" s="81"/>
      <c r="E10" s="32"/>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33"/>
      <c r="AL10" s="82"/>
      <c r="AM10" s="82"/>
      <c r="AN10" s="82"/>
      <c r="AO10" s="82"/>
      <c r="AP10" s="82"/>
      <c r="AS10" s="116">
        <v>1</v>
      </c>
      <c r="AT10" s="11" t="s">
        <v>379</v>
      </c>
      <c r="AW10" s="112"/>
      <c r="AX10" s="112"/>
      <c r="AY10" s="112"/>
      <c r="AZ10" s="112"/>
      <c r="BA10" s="112"/>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row>
    <row r="11" spans="1:94" ht="4.95" customHeight="1" x14ac:dyDescent="0.3">
      <c r="A11" s="37"/>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38"/>
      <c r="AL11" s="82"/>
      <c r="AM11" s="82"/>
      <c r="AN11" s="82"/>
      <c r="AO11" s="82"/>
      <c r="AP11" s="82"/>
      <c r="AS11" s="116"/>
      <c r="AT11" s="11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row>
    <row r="12" spans="1:94" ht="13.95" customHeight="1" x14ac:dyDescent="0.3">
      <c r="B12" s="1" t="s">
        <v>0</v>
      </c>
      <c r="C12" s="1"/>
      <c r="D12" s="1"/>
      <c r="E12" s="1"/>
      <c r="F12" s="1"/>
      <c r="G12" s="1"/>
      <c r="H12" s="1"/>
      <c r="I12" s="1"/>
      <c r="AD12" s="2"/>
      <c r="AS12" s="116">
        <v>2</v>
      </c>
      <c r="AT12" s="112" t="s">
        <v>380</v>
      </c>
      <c r="AU12" s="112"/>
      <c r="AV12" s="112"/>
      <c r="AW12" s="112"/>
      <c r="AX12" s="112"/>
      <c r="AY12" s="112"/>
      <c r="AZ12" s="112"/>
      <c r="BA12" s="112"/>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row>
    <row r="13" spans="1:94" ht="13.95" customHeight="1" x14ac:dyDescent="0.3">
      <c r="D13" s="2" t="s">
        <v>144</v>
      </c>
      <c r="E13" s="164"/>
      <c r="F13" s="164"/>
      <c r="G13" s="164"/>
      <c r="H13" s="164"/>
      <c r="I13" s="164"/>
      <c r="J13" s="164"/>
      <c r="K13" s="164"/>
      <c r="L13" s="164"/>
      <c r="M13" s="164"/>
      <c r="N13" s="164"/>
      <c r="O13" s="164"/>
      <c r="P13" s="164"/>
      <c r="Q13" s="164"/>
      <c r="R13" s="164"/>
      <c r="S13" s="164"/>
      <c r="T13" s="164"/>
      <c r="U13" s="164"/>
      <c r="V13" s="164"/>
      <c r="W13" s="164"/>
      <c r="X13" s="164"/>
      <c r="AD13" s="2" t="s">
        <v>21</v>
      </c>
      <c r="AE13" s="177"/>
      <c r="AF13" s="177"/>
      <c r="AG13" s="177"/>
      <c r="AH13" s="177"/>
      <c r="AI13" s="177"/>
      <c r="AJ13" s="177"/>
      <c r="AS13" s="116"/>
      <c r="AT13" s="112" t="s">
        <v>381</v>
      </c>
      <c r="AU13" s="112"/>
      <c r="AV13" s="112"/>
      <c r="AW13" s="112"/>
      <c r="AX13" s="112"/>
      <c r="AY13" s="112"/>
      <c r="AZ13" s="112"/>
      <c r="BA13" s="112"/>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row>
    <row r="14" spans="1:94" ht="13.95" customHeight="1" x14ac:dyDescent="0.3">
      <c r="D14" s="2" t="s">
        <v>145</v>
      </c>
      <c r="E14" s="190"/>
      <c r="F14" s="190"/>
      <c r="G14" s="190"/>
      <c r="H14" s="190"/>
      <c r="I14" s="190"/>
      <c r="J14" s="190"/>
      <c r="K14" s="190"/>
      <c r="L14" s="190"/>
      <c r="M14" s="190"/>
      <c r="N14" s="190"/>
      <c r="O14" s="190"/>
      <c r="P14" s="190"/>
      <c r="Q14" s="190"/>
      <c r="R14" s="190"/>
      <c r="S14" s="190"/>
      <c r="T14" s="190"/>
      <c r="U14" s="190"/>
      <c r="V14" s="190"/>
      <c r="W14" s="190"/>
      <c r="X14" s="190"/>
      <c r="AD14" s="2" t="s">
        <v>35</v>
      </c>
      <c r="AE14" s="178"/>
      <c r="AF14" s="178"/>
      <c r="AG14" s="178"/>
      <c r="AH14" s="178"/>
      <c r="AI14" s="178"/>
      <c r="AJ14" s="178"/>
      <c r="AS14" s="116">
        <v>3</v>
      </c>
      <c r="AT14" s="112" t="s">
        <v>329</v>
      </c>
      <c r="AW14" s="112"/>
      <c r="AX14" s="112"/>
      <c r="AY14" s="112"/>
      <c r="AZ14" s="112"/>
      <c r="BA14" s="112"/>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row>
    <row r="15" spans="1:94" ht="4.95"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86"/>
      <c r="AM15" s="86"/>
      <c r="AN15" s="86"/>
      <c r="AO15" s="86"/>
      <c r="AP15" s="86"/>
      <c r="AS15" s="116"/>
      <c r="AT15" s="116"/>
      <c r="AW15" s="112"/>
      <c r="AX15" s="112"/>
      <c r="AY15" s="112"/>
      <c r="AZ15" s="112"/>
      <c r="BA15" s="112"/>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row>
    <row r="16" spans="1:94" ht="13.95" customHeight="1" x14ac:dyDescent="0.3">
      <c r="E16" s="2" t="s">
        <v>190</v>
      </c>
      <c r="F16" s="70"/>
      <c r="G16" s="39" t="s">
        <v>138</v>
      </c>
      <c r="N16" s="70"/>
      <c r="O16" s="39" t="s">
        <v>139</v>
      </c>
      <c r="W16" s="70"/>
      <c r="X16" s="39" t="s">
        <v>140</v>
      </c>
      <c r="AT16" s="112" t="str">
        <f>"Hydrology for Small Watersheds Technical Release 55 (TR-55) or equivalent as approved by the "&amp;Tables!$C$23&amp;" Engineer;"</f>
        <v>Hydrology for Small Watersheds Technical Release 55 (TR-55) or equivalent as approved by the City Engineer;</v>
      </c>
      <c r="AU16" s="112"/>
      <c r="AV16" s="112"/>
      <c r="AW16" s="112"/>
      <c r="AX16" s="112"/>
      <c r="AY16" s="112"/>
      <c r="AZ16" s="112"/>
      <c r="BA16" s="112"/>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row>
    <row r="17" spans="2:80" ht="4.95" customHeight="1" x14ac:dyDescent="0.3">
      <c r="C17" s="2"/>
      <c r="D17" s="2"/>
      <c r="E17" s="2"/>
      <c r="F17" s="2"/>
      <c r="G17" s="2"/>
      <c r="H17" s="2"/>
      <c r="I17" s="2"/>
      <c r="AS17" s="116"/>
      <c r="AU17" s="112"/>
      <c r="AV17" s="112"/>
      <c r="AW17" s="112"/>
      <c r="AX17" s="112"/>
      <c r="AY17" s="112"/>
      <c r="AZ17" s="112"/>
      <c r="BA17" s="112"/>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row>
    <row r="18" spans="2:80" ht="13.95" customHeight="1" x14ac:dyDescent="0.3">
      <c r="C18" s="2"/>
      <c r="D18" s="2"/>
      <c r="E18" s="2"/>
      <c r="F18" s="70"/>
      <c r="G18" s="39" t="s">
        <v>200</v>
      </c>
      <c r="N18" s="70"/>
      <c r="O18" s="39" t="s">
        <v>235</v>
      </c>
      <c r="W18" s="70"/>
      <c r="X18" s="39" t="s">
        <v>201</v>
      </c>
      <c r="AS18" s="116">
        <v>4</v>
      </c>
      <c r="AT18" s="112" t="s">
        <v>330</v>
      </c>
      <c r="AU18" s="112"/>
      <c r="AV18" s="112"/>
      <c r="AW18" s="112"/>
      <c r="AX18" s="112"/>
      <c r="AY18" s="112"/>
      <c r="AZ18" s="112"/>
      <c r="BA18" s="112"/>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row>
    <row r="19" spans="2:80" ht="4.95" customHeight="1" x14ac:dyDescent="0.3">
      <c r="C19" s="2"/>
      <c r="D19" s="2"/>
      <c r="E19" s="2"/>
      <c r="F19" s="2"/>
      <c r="G19" s="2"/>
      <c r="H19" s="2"/>
      <c r="I19" s="2"/>
      <c r="AS19" s="116"/>
      <c r="AT19" s="112"/>
      <c r="AU19" s="112"/>
      <c r="AV19" s="112"/>
      <c r="AW19" s="112"/>
      <c r="AX19" s="112"/>
      <c r="AY19" s="112"/>
      <c r="AZ19" s="112"/>
      <c r="BA19" s="112"/>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row>
    <row r="20" spans="2:80" ht="13.95" customHeight="1" x14ac:dyDescent="0.3">
      <c r="D20" s="2"/>
      <c r="E20" s="2"/>
      <c r="F20" s="2"/>
      <c r="H20" s="2" t="s">
        <v>51</v>
      </c>
      <c r="I20" s="2"/>
      <c r="J20" s="180"/>
      <c r="K20" s="180"/>
      <c r="L20" s="180"/>
      <c r="M20" s="180"/>
      <c r="N20" s="39" t="s">
        <v>37</v>
      </c>
      <c r="AT20" s="112" t="str">
        <f>"development hydrology for the "&amp;Tables!C28&amp;"-year, 24-hour rainfall depths;"</f>
        <v>development hydrology for the 2, 5, 10, and 25-year, 24-hour rainfall depths;</v>
      </c>
      <c r="AU20" s="112"/>
      <c r="AV20" s="112"/>
      <c r="AW20" s="112"/>
      <c r="AX20" s="112"/>
      <c r="AY20" s="112"/>
      <c r="AZ20" s="112"/>
      <c r="BA20" s="112"/>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row>
    <row r="21" spans="2:80" ht="13.95" customHeight="1" x14ac:dyDescent="0.3">
      <c r="B21" s="39" t="s">
        <v>2</v>
      </c>
      <c r="Z21" s="2" t="s">
        <v>36</v>
      </c>
      <c r="AA21" s="180"/>
      <c r="AB21" s="180"/>
      <c r="AC21" s="180"/>
      <c r="AD21" s="180"/>
      <c r="AE21" s="39" t="s">
        <v>37</v>
      </c>
      <c r="AS21" s="116">
        <v>5</v>
      </c>
      <c r="AT21" s="39" t="s">
        <v>382</v>
      </c>
      <c r="AU21" s="112"/>
      <c r="AV21" s="112"/>
      <c r="AW21" s="112"/>
      <c r="AX21" s="112"/>
      <c r="AY21" s="112"/>
      <c r="AZ21" s="112"/>
      <c r="BA21" s="112"/>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row>
    <row r="22" spans="2:80" ht="13.95" customHeight="1" x14ac:dyDescent="0.3">
      <c r="D22" s="2"/>
      <c r="E22" s="2"/>
      <c r="F22" s="2"/>
      <c r="G22" s="2"/>
      <c r="I22" s="2" t="s">
        <v>191</v>
      </c>
      <c r="J22" s="180"/>
      <c r="K22" s="180"/>
      <c r="L22" s="180"/>
      <c r="M22" s="180"/>
      <c r="N22" s="39" t="s">
        <v>37</v>
      </c>
      <c r="S22" s="39" t="s">
        <v>57</v>
      </c>
      <c r="AT22" s="39" t="s">
        <v>383</v>
      </c>
      <c r="AU22" s="112"/>
      <c r="AV22" s="112"/>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row>
    <row r="23" spans="2:80" ht="13.95" customHeight="1" x14ac:dyDescent="0.3">
      <c r="D23" s="2"/>
      <c r="E23" s="2"/>
      <c r="F23" s="2"/>
      <c r="G23" s="2"/>
      <c r="I23" s="2" t="s">
        <v>192</v>
      </c>
      <c r="J23" s="179"/>
      <c r="K23" s="179"/>
      <c r="L23" s="179"/>
      <c r="M23" s="179"/>
      <c r="N23" s="39" t="s">
        <v>37</v>
      </c>
      <c r="V23" s="2" t="s">
        <v>58</v>
      </c>
      <c r="W23" s="189">
        <f>IF(AL23=1,"0.00",IFERROR(IF($J$27-$AA$21&lt;0,0,$J$27-$AA$21),""))</f>
        <v>0</v>
      </c>
      <c r="X23" s="189"/>
      <c r="Y23" s="189"/>
      <c r="Z23" s="189"/>
      <c r="AA23" s="39" t="s">
        <v>37</v>
      </c>
      <c r="AL23" s="120">
        <f>IF(AND(J27=0,ISBLANK(AA21)),0,IF(OR(J27-AA21=0,J27-AA21&lt;0),1,2))</f>
        <v>0</v>
      </c>
      <c r="AS23" s="116"/>
      <c r="AT23" s="39" t="s">
        <v>384</v>
      </c>
      <c r="AU23" s="112"/>
      <c r="AV23" s="112"/>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row>
    <row r="24" spans="2:80" ht="13.95" customHeight="1" x14ac:dyDescent="0.3">
      <c r="D24" s="2"/>
      <c r="E24" s="2"/>
      <c r="F24" s="2"/>
      <c r="G24" s="2"/>
      <c r="I24" s="2" t="s">
        <v>193</v>
      </c>
      <c r="J24" s="179"/>
      <c r="K24" s="179"/>
      <c r="L24" s="179"/>
      <c r="M24" s="179"/>
      <c r="N24" s="39" t="s">
        <v>37</v>
      </c>
      <c r="S24" s="39" t="s">
        <v>38</v>
      </c>
      <c r="AS24" s="116">
        <v>6</v>
      </c>
      <c r="AT24" s="39" t="s">
        <v>331</v>
      </c>
      <c r="AV24" s="112"/>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row>
    <row r="25" spans="2:80" ht="13.95" customHeight="1" x14ac:dyDescent="0.3">
      <c r="D25" s="2"/>
      <c r="E25" s="2"/>
      <c r="F25" s="2"/>
      <c r="G25" s="2"/>
      <c r="I25" s="2" t="s">
        <v>194</v>
      </c>
      <c r="J25" s="179"/>
      <c r="K25" s="179"/>
      <c r="L25" s="179"/>
      <c r="M25" s="179"/>
      <c r="N25" s="39" t="s">
        <v>37</v>
      </c>
      <c r="V25" s="2" t="s">
        <v>40</v>
      </c>
      <c r="W25" s="39" t="str">
        <f>"AIA acres X "&amp;Tables!D15&amp; " in X 3,630"</f>
        <v>AIA acres X 1.10 in X 3,630</v>
      </c>
      <c r="AT25" s="39" t="s">
        <v>332</v>
      </c>
      <c r="AV25" s="112"/>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row>
    <row r="26" spans="2:80" ht="13.95" customHeight="1" thickBot="1" x14ac:dyDescent="0.35">
      <c r="D26" s="2"/>
      <c r="E26" s="2"/>
      <c r="F26" s="2"/>
      <c r="G26" s="2"/>
      <c r="I26" s="2" t="s">
        <v>195</v>
      </c>
      <c r="J26" s="188"/>
      <c r="K26" s="188"/>
      <c r="L26" s="188"/>
      <c r="M26" s="188"/>
      <c r="N26" s="39" t="s">
        <v>37</v>
      </c>
      <c r="V26" s="2" t="s">
        <v>40</v>
      </c>
      <c r="W26" s="189">
        <f>IF(AL23=1,"0.00",IFERROR(IF($J$27-$AA$21&lt;0,0,$J$27-$AA$21),""))</f>
        <v>0</v>
      </c>
      <c r="X26" s="189"/>
      <c r="Y26" s="189"/>
      <c r="Z26" s="189"/>
      <c r="AA26" s="39" t="str">
        <f>"acres X "&amp;Tables!D15&amp;" in X 3,630"</f>
        <v>acres X 1.10 in X 3,630</v>
      </c>
      <c r="AS26" s="116">
        <v>7</v>
      </c>
      <c r="AT26" s="39" t="s">
        <v>385</v>
      </c>
      <c r="AW26" s="112"/>
      <c r="AX26" s="112"/>
      <c r="AY26" s="112"/>
      <c r="AZ26" s="112"/>
      <c r="BA26" s="112"/>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row>
    <row r="27" spans="2:80" ht="13.95" customHeight="1" thickTop="1" x14ac:dyDescent="0.3">
      <c r="D27" s="2"/>
      <c r="E27" s="2"/>
      <c r="F27" s="2"/>
      <c r="G27" s="2"/>
      <c r="I27" s="2" t="s">
        <v>196</v>
      </c>
      <c r="J27" s="189">
        <f>IF(SUM($J$22:$J$26)=0,0,SUM($J$22:$J$26))</f>
        <v>0</v>
      </c>
      <c r="K27" s="189"/>
      <c r="L27" s="189"/>
      <c r="M27" s="189"/>
      <c r="N27" s="39" t="s">
        <v>37</v>
      </c>
      <c r="V27" s="2" t="s">
        <v>40</v>
      </c>
      <c r="W27" s="183">
        <f>IF(AL23=1,"0",IFERROR(ROUND(IF(($J$27-$AA$21)*Tables!C15*3630&lt;0,0,($J$27-$AA$21)*Tables!C15*3630),0),""))</f>
        <v>0</v>
      </c>
      <c r="X27" s="183"/>
      <c r="Y27" s="183"/>
      <c r="Z27" s="183"/>
      <c r="AA27" s="39" t="s">
        <v>39</v>
      </c>
      <c r="AT27" s="39" t="s">
        <v>333</v>
      </c>
      <c r="AW27" s="112"/>
      <c r="AX27" s="112"/>
      <c r="AY27" s="112"/>
      <c r="AZ27" s="112"/>
      <c r="BA27" s="112"/>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row>
    <row r="28" spans="2:80" ht="4.95" customHeight="1" x14ac:dyDescent="0.3">
      <c r="AW28" s="112"/>
      <c r="AX28" s="112"/>
      <c r="AY28" s="112"/>
      <c r="AZ28" s="112"/>
      <c r="BA28" s="112"/>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row>
    <row r="29" spans="2:80" ht="13.95" customHeight="1" x14ac:dyDescent="0.3">
      <c r="B29" s="1" t="s">
        <v>3</v>
      </c>
      <c r="C29" s="1"/>
      <c r="D29" s="1"/>
      <c r="E29" s="1"/>
      <c r="F29" s="1"/>
      <c r="G29" s="1"/>
      <c r="H29" s="1"/>
      <c r="I29" s="1"/>
      <c r="O29" s="2" t="s">
        <v>202</v>
      </c>
      <c r="P29" s="70"/>
      <c r="Q29" s="39" t="s">
        <v>203</v>
      </c>
      <c r="S29" s="70"/>
      <c r="T29" s="39" t="s">
        <v>204</v>
      </c>
      <c r="V29" s="70"/>
      <c r="W29" s="39" t="s">
        <v>205</v>
      </c>
      <c r="Y29" s="70"/>
      <c r="Z29" s="39" t="s">
        <v>206</v>
      </c>
      <c r="AL29" s="121">
        <f>IF(AND(ISBLANK(P29),ISBLANK(S29),ISBLANK(V29),ISBLANK(Y29)),1,2)</f>
        <v>1</v>
      </c>
      <c r="AS29" s="116">
        <v>8</v>
      </c>
      <c r="AT29" s="112" t="s">
        <v>386</v>
      </c>
      <c r="AU29" s="112"/>
      <c r="AW29" s="112"/>
      <c r="AX29" s="112"/>
      <c r="AY29" s="112"/>
      <c r="AZ29" s="112"/>
      <c r="BA29" s="112"/>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row>
    <row r="30" spans="2:80" s="13" customFormat="1" ht="15" hidden="1" customHeight="1" x14ac:dyDescent="0.3">
      <c r="B30" s="87"/>
      <c r="C30" s="87"/>
      <c r="D30" s="87"/>
      <c r="E30" s="87"/>
      <c r="F30" s="87"/>
      <c r="G30" s="87"/>
      <c r="H30" s="87"/>
      <c r="I30" s="87"/>
      <c r="L30" s="120">
        <f>IF(ISBLANK(L31),1,2)</f>
        <v>1</v>
      </c>
      <c r="P30" s="120">
        <f>IF(ISBLANK(P31),1,2)</f>
        <v>1</v>
      </c>
      <c r="T30" s="120">
        <f>IF(ISBLANK(T31),1,2)</f>
        <v>1</v>
      </c>
      <c r="X30" s="120">
        <f>IF(ISBLANK(X31),1,2)</f>
        <v>1</v>
      </c>
      <c r="AB30" s="120">
        <f>IF(ISBLANK(AB31),1,2)</f>
        <v>1</v>
      </c>
      <c r="AR30" s="39"/>
      <c r="AS30" s="39"/>
      <c r="AT30" s="112" t="s">
        <v>334</v>
      </c>
      <c r="AU30" s="112"/>
      <c r="AV30" s="39"/>
      <c r="AW30" s="112"/>
      <c r="AX30" s="112"/>
      <c r="AY30" s="112"/>
      <c r="AZ30" s="112"/>
      <c r="BA30" s="112"/>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row>
    <row r="31" spans="2:80" ht="13.95" customHeight="1" x14ac:dyDescent="0.3">
      <c r="I31" s="2"/>
      <c r="J31" s="2" t="s">
        <v>50</v>
      </c>
      <c r="K31" s="2"/>
      <c r="L31" s="187"/>
      <c r="M31" s="187"/>
      <c r="N31" s="187"/>
      <c r="P31" s="187"/>
      <c r="Q31" s="187"/>
      <c r="R31" s="187"/>
      <c r="T31" s="187"/>
      <c r="U31" s="187"/>
      <c r="V31" s="187"/>
      <c r="W31" s="4"/>
      <c r="X31" s="187"/>
      <c r="Y31" s="187"/>
      <c r="Z31" s="187"/>
      <c r="AB31" s="187"/>
      <c r="AC31" s="187"/>
      <c r="AD31" s="187"/>
      <c r="AE31" s="4"/>
      <c r="AF31" s="167" t="s">
        <v>13</v>
      </c>
      <c r="AG31" s="167"/>
      <c r="AH31" s="167"/>
      <c r="AI31" s="4"/>
      <c r="AJ31" s="4"/>
      <c r="AS31" s="116"/>
      <c r="AT31" s="112" t="s">
        <v>335</v>
      </c>
      <c r="AU31" s="112"/>
      <c r="AV31" s="112"/>
      <c r="AW31" s="112"/>
      <c r="AX31" s="112"/>
      <c r="AY31" s="112"/>
      <c r="AZ31" s="112"/>
      <c r="BA31" s="112"/>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row>
    <row r="32" spans="2:80" ht="13.95" customHeight="1" x14ac:dyDescent="0.3">
      <c r="I32" s="2"/>
      <c r="J32" s="2" t="s">
        <v>141</v>
      </c>
      <c r="K32" s="2"/>
      <c r="L32" s="179"/>
      <c r="M32" s="179"/>
      <c r="N32" s="179"/>
      <c r="P32" s="179"/>
      <c r="Q32" s="179"/>
      <c r="R32" s="179"/>
      <c r="T32" s="179"/>
      <c r="U32" s="179"/>
      <c r="V32" s="179"/>
      <c r="W32" s="4"/>
      <c r="X32" s="179"/>
      <c r="Y32" s="179"/>
      <c r="Z32" s="179"/>
      <c r="AB32" s="179"/>
      <c r="AC32" s="179"/>
      <c r="AD32" s="179"/>
      <c r="AE32" s="4"/>
      <c r="AF32" s="180"/>
      <c r="AG32" s="180"/>
      <c r="AH32" s="180"/>
      <c r="AI32" s="4"/>
      <c r="AJ32" s="4"/>
      <c r="AS32" s="116">
        <v>9</v>
      </c>
      <c r="AT32" s="112" t="s">
        <v>387</v>
      </c>
      <c r="AU32" s="112"/>
      <c r="AV32" s="112"/>
      <c r="AW32" s="112"/>
      <c r="AX32" s="112"/>
      <c r="AY32" s="112"/>
      <c r="AZ32" s="112"/>
      <c r="BA32" s="112"/>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row>
    <row r="33" spans="2:80" ht="13.95" customHeight="1" x14ac:dyDescent="0.3">
      <c r="I33" s="2"/>
      <c r="J33" s="2" t="s">
        <v>4</v>
      </c>
      <c r="K33" s="2"/>
      <c r="L33" s="174"/>
      <c r="M33" s="174"/>
      <c r="N33" s="174"/>
      <c r="P33" s="181"/>
      <c r="Q33" s="181"/>
      <c r="R33" s="181"/>
      <c r="S33" s="88"/>
      <c r="T33" s="181"/>
      <c r="U33" s="181"/>
      <c r="V33" s="181"/>
      <c r="W33" s="4"/>
      <c r="X33" s="181"/>
      <c r="Y33" s="181"/>
      <c r="Z33" s="181"/>
      <c r="AB33" s="181"/>
      <c r="AC33" s="181"/>
      <c r="AD33" s="181"/>
      <c r="AE33" s="4"/>
      <c r="AF33" s="181"/>
      <c r="AG33" s="181"/>
      <c r="AH33" s="181"/>
      <c r="AI33" s="4"/>
      <c r="AJ33" s="4"/>
      <c r="AT33" s="112" t="s">
        <v>336</v>
      </c>
      <c r="AU33" s="112"/>
      <c r="AV33" s="112"/>
      <c r="AW33" s="112"/>
      <c r="AX33" s="112"/>
      <c r="AY33" s="112"/>
      <c r="AZ33" s="112"/>
      <c r="BA33" s="112"/>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row>
    <row r="34" spans="2:80" ht="13.95" customHeight="1" x14ac:dyDescent="0.3">
      <c r="I34" s="2"/>
      <c r="J34" s="2" t="s">
        <v>56</v>
      </c>
      <c r="K34" s="2"/>
      <c r="L34" s="172"/>
      <c r="M34" s="172"/>
      <c r="N34" s="172"/>
      <c r="P34" s="173"/>
      <c r="Q34" s="173"/>
      <c r="R34" s="173"/>
      <c r="S34" s="41"/>
      <c r="T34" s="173"/>
      <c r="U34" s="173"/>
      <c r="V34" s="173"/>
      <c r="W34" s="4"/>
      <c r="X34" s="173"/>
      <c r="Y34" s="173"/>
      <c r="Z34" s="173"/>
      <c r="AB34" s="173"/>
      <c r="AC34" s="173"/>
      <c r="AD34" s="173"/>
      <c r="AE34" s="4"/>
      <c r="AF34" s="173"/>
      <c r="AG34" s="173"/>
      <c r="AH34" s="173"/>
      <c r="AI34" s="4"/>
      <c r="AJ34" s="4"/>
      <c r="AL34" s="125">
        <f>SUM(AL35:AL40)</f>
        <v>0</v>
      </c>
      <c r="AM34" s="121">
        <f>SUM(AM35:AM40)</f>
        <v>0</v>
      </c>
      <c r="AN34" s="13" t="s">
        <v>13</v>
      </c>
      <c r="AS34" s="116"/>
      <c r="AT34" s="112" t="s">
        <v>337</v>
      </c>
      <c r="AU34" s="112"/>
      <c r="AV34" s="112"/>
      <c r="AW34" s="112"/>
      <c r="AX34" s="112"/>
      <c r="AY34" s="112"/>
      <c r="AZ34" s="112"/>
      <c r="BA34" s="112"/>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row>
    <row r="35" spans="2:80" ht="13.95" customHeight="1" x14ac:dyDescent="0.3">
      <c r="D35" s="165" t="s">
        <v>397</v>
      </c>
      <c r="E35" s="165"/>
      <c r="F35" s="182">
        <f>Tables!$C$16</f>
        <v>4.24</v>
      </c>
      <c r="G35" s="182"/>
      <c r="H35" s="41"/>
      <c r="J35" s="2" t="str">
        <f>Tables!$A$16</f>
        <v>(2-yr)</v>
      </c>
      <c r="K35" s="2"/>
      <c r="L35" s="180"/>
      <c r="M35" s="180"/>
      <c r="N35" s="180"/>
      <c r="P35" s="180"/>
      <c r="Q35" s="180"/>
      <c r="R35" s="180"/>
      <c r="S35" s="46"/>
      <c r="T35" s="180"/>
      <c r="U35" s="180"/>
      <c r="V35" s="180"/>
      <c r="W35" s="4"/>
      <c r="X35" s="180"/>
      <c r="Y35" s="180"/>
      <c r="Z35" s="180"/>
      <c r="AB35" s="180"/>
      <c r="AC35" s="180"/>
      <c r="AD35" s="180"/>
      <c r="AE35" s="4"/>
      <c r="AF35" s="180"/>
      <c r="AG35" s="180"/>
      <c r="AH35" s="180"/>
      <c r="AI35" s="4"/>
      <c r="AJ35" s="4"/>
      <c r="AL35" s="121">
        <f t="shared" ref="AL35:AL40" si="0">IF(AF35=0,0,1)</f>
        <v>0</v>
      </c>
      <c r="AM35" s="121">
        <f t="shared" ref="AM35:AM40" si="1">IF(ISBLANK(AF35),0,1)</f>
        <v>0</v>
      </c>
      <c r="AS35" s="116"/>
      <c r="AT35" s="112" t="s">
        <v>338</v>
      </c>
      <c r="AU35" s="112"/>
      <c r="AV35" s="112"/>
      <c r="AW35" s="112"/>
      <c r="AX35" s="112"/>
      <c r="AY35" s="112"/>
      <c r="AZ35" s="112"/>
      <c r="BA35" s="112"/>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row>
    <row r="36" spans="2:80" ht="13.95" customHeight="1" x14ac:dyDescent="0.3">
      <c r="D36" s="165"/>
      <c r="E36" s="165"/>
      <c r="F36" s="182">
        <f>Tables!$C$17</f>
        <v>5.3</v>
      </c>
      <c r="G36" s="182"/>
      <c r="H36" s="41"/>
      <c r="J36" s="2" t="str">
        <f>Tables!$A$17</f>
        <v>(5-yr)</v>
      </c>
      <c r="K36" s="2"/>
      <c r="L36" s="180"/>
      <c r="M36" s="180"/>
      <c r="N36" s="180"/>
      <c r="P36" s="180"/>
      <c r="Q36" s="180"/>
      <c r="R36" s="180"/>
      <c r="S36" s="46"/>
      <c r="T36" s="179"/>
      <c r="U36" s="179"/>
      <c r="V36" s="179"/>
      <c r="W36" s="4"/>
      <c r="X36" s="179"/>
      <c r="Y36" s="179"/>
      <c r="Z36" s="179"/>
      <c r="AB36" s="179"/>
      <c r="AC36" s="179"/>
      <c r="AD36" s="179"/>
      <c r="AE36" s="4"/>
      <c r="AF36" s="179"/>
      <c r="AG36" s="179"/>
      <c r="AH36" s="179"/>
      <c r="AI36" s="4"/>
      <c r="AJ36" s="4"/>
      <c r="AL36" s="121">
        <f t="shared" si="0"/>
        <v>0</v>
      </c>
      <c r="AM36" s="121">
        <f t="shared" si="1"/>
        <v>0</v>
      </c>
      <c r="AS36" s="116">
        <v>10</v>
      </c>
      <c r="AT36" s="112" t="s">
        <v>339</v>
      </c>
      <c r="AU36" s="112"/>
      <c r="AV36" s="112"/>
      <c r="AW36" s="112"/>
      <c r="AX36" s="112"/>
      <c r="AY36" s="112"/>
      <c r="AZ36" s="112"/>
      <c r="BA36" s="112"/>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row>
    <row r="37" spans="2:80" ht="13.95" customHeight="1" x14ac:dyDescent="0.3">
      <c r="D37" s="165"/>
      <c r="E37" s="165"/>
      <c r="F37" s="182">
        <f>Tables!$C$18</f>
        <v>6.24</v>
      </c>
      <c r="G37" s="182"/>
      <c r="H37" s="41"/>
      <c r="J37" s="2" t="str">
        <f>Tables!$A$18</f>
        <v>(10-yr)</v>
      </c>
      <c r="K37" s="2"/>
      <c r="L37" s="180"/>
      <c r="M37" s="180"/>
      <c r="N37" s="180"/>
      <c r="P37" s="179"/>
      <c r="Q37" s="179"/>
      <c r="R37" s="179"/>
      <c r="S37" s="46"/>
      <c r="T37" s="179"/>
      <c r="U37" s="179"/>
      <c r="V37" s="179"/>
      <c r="W37" s="4"/>
      <c r="X37" s="179"/>
      <c r="Y37" s="179"/>
      <c r="Z37" s="179"/>
      <c r="AB37" s="179"/>
      <c r="AC37" s="179"/>
      <c r="AD37" s="179"/>
      <c r="AE37" s="4"/>
      <c r="AF37" s="179"/>
      <c r="AG37" s="179"/>
      <c r="AH37" s="179"/>
      <c r="AI37" s="4"/>
      <c r="AJ37" s="4"/>
      <c r="AL37" s="121">
        <f t="shared" si="0"/>
        <v>0</v>
      </c>
      <c r="AM37" s="121">
        <f t="shared" si="1"/>
        <v>0</v>
      </c>
      <c r="AT37" s="112" t="s">
        <v>340</v>
      </c>
      <c r="AU37" s="112"/>
      <c r="AV37" s="112"/>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row>
    <row r="38" spans="2:80" ht="13.95" customHeight="1" x14ac:dyDescent="0.3">
      <c r="D38" s="165"/>
      <c r="E38" s="165"/>
      <c r="F38" s="182">
        <f>Tables!$C$19</f>
        <v>7.64</v>
      </c>
      <c r="G38" s="182"/>
      <c r="H38" s="41"/>
      <c r="J38" s="2" t="str">
        <f>Tables!$A$19</f>
        <v>(25-yr)</v>
      </c>
      <c r="K38" s="2"/>
      <c r="L38" s="180"/>
      <c r="M38" s="180"/>
      <c r="N38" s="180"/>
      <c r="P38" s="179"/>
      <c r="Q38" s="179"/>
      <c r="R38" s="179"/>
      <c r="S38" s="46"/>
      <c r="T38" s="179"/>
      <c r="U38" s="179"/>
      <c r="V38" s="179"/>
      <c r="W38" s="4"/>
      <c r="X38" s="179"/>
      <c r="Y38" s="179"/>
      <c r="Z38" s="179"/>
      <c r="AB38" s="179"/>
      <c r="AC38" s="179"/>
      <c r="AD38" s="179"/>
      <c r="AE38" s="4"/>
      <c r="AF38" s="179"/>
      <c r="AG38" s="179"/>
      <c r="AH38" s="179"/>
      <c r="AI38" s="4"/>
      <c r="AJ38" s="4"/>
      <c r="AL38" s="121">
        <f t="shared" si="0"/>
        <v>0</v>
      </c>
      <c r="AM38" s="121">
        <f t="shared" si="1"/>
        <v>0</v>
      </c>
      <c r="AS38" s="116">
        <v>11</v>
      </c>
      <c r="AT38" s="39" t="s">
        <v>341</v>
      </c>
      <c r="AV38" s="112"/>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row>
    <row r="39" spans="2:80" ht="13.95" customHeight="1" x14ac:dyDescent="0.3">
      <c r="D39" s="165"/>
      <c r="E39" s="165"/>
      <c r="F39" s="182">
        <f>Tables!$C$20</f>
        <v>8.8000000000000007</v>
      </c>
      <c r="G39" s="182"/>
      <c r="H39" s="41"/>
      <c r="J39" s="2" t="str">
        <f>Tables!$A$20</f>
        <v>(50-yr)</v>
      </c>
      <c r="K39" s="2"/>
      <c r="L39" s="180"/>
      <c r="M39" s="180"/>
      <c r="N39" s="180"/>
      <c r="P39" s="179"/>
      <c r="Q39" s="179"/>
      <c r="R39" s="179"/>
      <c r="S39" s="46"/>
      <c r="T39" s="179"/>
      <c r="U39" s="179"/>
      <c r="V39" s="179"/>
      <c r="W39" s="4"/>
      <c r="X39" s="179"/>
      <c r="Y39" s="179"/>
      <c r="Z39" s="179"/>
      <c r="AB39" s="179"/>
      <c r="AC39" s="179"/>
      <c r="AD39" s="179"/>
      <c r="AE39" s="4"/>
      <c r="AF39" s="179"/>
      <c r="AG39" s="179"/>
      <c r="AH39" s="179"/>
      <c r="AI39" s="4"/>
      <c r="AJ39" s="4"/>
      <c r="AL39" s="121">
        <f t="shared" si="0"/>
        <v>0</v>
      </c>
      <c r="AM39" s="121">
        <f t="shared" si="1"/>
        <v>0</v>
      </c>
      <c r="AT39" s="39" t="s">
        <v>342</v>
      </c>
      <c r="AV39" s="112"/>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row>
    <row r="40" spans="2:80" ht="13.95" customHeight="1" x14ac:dyDescent="0.3">
      <c r="D40" s="165"/>
      <c r="E40" s="165"/>
      <c r="F40" s="182">
        <f>Tables!$C$21</f>
        <v>10</v>
      </c>
      <c r="G40" s="182"/>
      <c r="H40" s="41"/>
      <c r="J40" s="2" t="str">
        <f>Tables!$A$21</f>
        <v>(100-yr)</v>
      </c>
      <c r="K40" s="2"/>
      <c r="L40" s="180"/>
      <c r="M40" s="180"/>
      <c r="N40" s="180"/>
      <c r="P40" s="179"/>
      <c r="Q40" s="179"/>
      <c r="R40" s="179"/>
      <c r="S40" s="46"/>
      <c r="T40" s="179"/>
      <c r="U40" s="179"/>
      <c r="V40" s="179"/>
      <c r="W40" s="4"/>
      <c r="X40" s="179"/>
      <c r="Y40" s="179"/>
      <c r="Z40" s="179"/>
      <c r="AB40" s="179"/>
      <c r="AC40" s="179"/>
      <c r="AD40" s="179"/>
      <c r="AE40" s="4"/>
      <c r="AF40" s="179"/>
      <c r="AG40" s="179"/>
      <c r="AH40" s="179"/>
      <c r="AI40" s="4"/>
      <c r="AJ40" s="4"/>
      <c r="AL40" s="121">
        <f t="shared" si="0"/>
        <v>0</v>
      </c>
      <c r="AM40" s="121">
        <f t="shared" si="1"/>
        <v>0</v>
      </c>
      <c r="AS40" s="116"/>
      <c r="AT40" s="4" t="s">
        <v>98</v>
      </c>
      <c r="AU40" s="39" t="s">
        <v>256</v>
      </c>
      <c r="AV40" s="112"/>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row>
    <row r="41" spans="2:80" ht="4.95" customHeight="1" x14ac:dyDescent="0.3">
      <c r="AL41" s="135"/>
      <c r="AM41" s="23"/>
      <c r="AS41" s="116"/>
      <c r="AT41" s="4"/>
      <c r="AV41" s="112"/>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row>
    <row r="42" spans="2:80" ht="13.95" customHeight="1" x14ac:dyDescent="0.3">
      <c r="B42" s="1" t="s">
        <v>11</v>
      </c>
      <c r="C42" s="1"/>
      <c r="D42" s="1"/>
      <c r="E42" s="1"/>
      <c r="F42" s="1"/>
      <c r="G42" s="1"/>
      <c r="H42" s="1"/>
      <c r="I42" s="1"/>
      <c r="O42" s="2" t="s">
        <v>202</v>
      </c>
      <c r="P42" s="70"/>
      <c r="Q42" s="39" t="s">
        <v>203</v>
      </c>
      <c r="S42" s="70"/>
      <c r="T42" s="39" t="s">
        <v>204</v>
      </c>
      <c r="V42" s="70"/>
      <c r="W42" s="39" t="s">
        <v>205</v>
      </c>
      <c r="Y42" s="70"/>
      <c r="Z42" s="39" t="s">
        <v>206</v>
      </c>
      <c r="AL42" s="121">
        <f>IF(AND(ISBLANK(P42),ISBLANK(S42),ISBLANK(V42),ISBLANK(Y42)),1,2)</f>
        <v>1</v>
      </c>
      <c r="AS42" s="116"/>
      <c r="AT42" s="116" t="s">
        <v>99</v>
      </c>
      <c r="AU42" s="39" t="s">
        <v>343</v>
      </c>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row>
    <row r="43" spans="2:80" s="13" customFormat="1" ht="15" hidden="1" customHeight="1" x14ac:dyDescent="0.3">
      <c r="B43" s="87"/>
      <c r="C43" s="87"/>
      <c r="D43" s="87"/>
      <c r="E43" s="87"/>
      <c r="F43" s="87"/>
      <c r="G43" s="87"/>
      <c r="H43" s="87"/>
      <c r="I43" s="87"/>
      <c r="L43" s="120">
        <f>IF(ISBLANK(L44),1,2)</f>
        <v>1</v>
      </c>
      <c r="P43" s="120">
        <f>IF(ISBLANK(P44),1,2)</f>
        <v>1</v>
      </c>
      <c r="T43" s="120">
        <f>IF(ISBLANK(T44),1,2)</f>
        <v>1</v>
      </c>
      <c r="X43" s="120">
        <f>IF(ISBLANK(X44),1,2)</f>
        <v>1</v>
      </c>
      <c r="AB43" s="120">
        <f>IF(ISBLANK(AB44),1,2)</f>
        <v>1</v>
      </c>
      <c r="AI43" s="4"/>
      <c r="AJ43" s="4"/>
      <c r="AK43" s="39"/>
      <c r="AR43" s="39"/>
      <c r="AS43" s="116"/>
      <c r="AT43" s="39"/>
      <c r="AU43" s="39" t="s">
        <v>344</v>
      </c>
      <c r="AV43" s="39"/>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row>
    <row r="44" spans="2:80" ht="13.95" customHeight="1" x14ac:dyDescent="0.3">
      <c r="I44" s="2"/>
      <c r="J44" s="2" t="s">
        <v>50</v>
      </c>
      <c r="K44" s="2"/>
      <c r="L44" s="187"/>
      <c r="M44" s="187"/>
      <c r="N44" s="187"/>
      <c r="P44" s="187"/>
      <c r="Q44" s="187"/>
      <c r="R44" s="187"/>
      <c r="S44" s="4"/>
      <c r="T44" s="187"/>
      <c r="U44" s="187"/>
      <c r="V44" s="187"/>
      <c r="W44" s="4"/>
      <c r="X44" s="187"/>
      <c r="Y44" s="187"/>
      <c r="Z44" s="187"/>
      <c r="AB44" s="187"/>
      <c r="AC44" s="187"/>
      <c r="AD44" s="187"/>
      <c r="AE44" s="4"/>
      <c r="AG44" s="4" t="s">
        <v>12</v>
      </c>
      <c r="AH44" s="4"/>
      <c r="AI44" s="4"/>
      <c r="AJ44" s="4"/>
      <c r="AS44" s="116"/>
      <c r="AT44" s="116" t="s">
        <v>113</v>
      </c>
      <c r="AU44" s="39" t="s">
        <v>257</v>
      </c>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row>
    <row r="45" spans="2:80" ht="13.95" customHeight="1" x14ac:dyDescent="0.3">
      <c r="I45" s="2"/>
      <c r="J45" s="2" t="s">
        <v>141</v>
      </c>
      <c r="K45" s="2"/>
      <c r="L45" s="180"/>
      <c r="M45" s="180"/>
      <c r="N45" s="180"/>
      <c r="P45" s="179"/>
      <c r="Q45" s="179"/>
      <c r="R45" s="179"/>
      <c r="S45" s="4"/>
      <c r="T45" s="179"/>
      <c r="U45" s="179"/>
      <c r="V45" s="179"/>
      <c r="W45" s="4"/>
      <c r="X45" s="179"/>
      <c r="Y45" s="179"/>
      <c r="Z45" s="179"/>
      <c r="AB45" s="179"/>
      <c r="AC45" s="179"/>
      <c r="AD45" s="179"/>
      <c r="AE45" s="4"/>
      <c r="AF45" s="180"/>
      <c r="AG45" s="180"/>
      <c r="AH45" s="180"/>
      <c r="AI45" s="4"/>
      <c r="AJ45" s="4"/>
      <c r="AS45" s="116"/>
      <c r="AT45" s="116" t="s">
        <v>114</v>
      </c>
      <c r="AU45" s="39" t="s">
        <v>258</v>
      </c>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row>
    <row r="46" spans="2:80" ht="13.95" customHeight="1" x14ac:dyDescent="0.3">
      <c r="I46" s="2"/>
      <c r="J46" s="2" t="s">
        <v>4</v>
      </c>
      <c r="K46" s="2"/>
      <c r="L46" s="174"/>
      <c r="M46" s="174"/>
      <c r="N46" s="174"/>
      <c r="P46" s="181"/>
      <c r="Q46" s="181"/>
      <c r="R46" s="181"/>
      <c r="S46" s="4"/>
      <c r="T46" s="181"/>
      <c r="U46" s="181"/>
      <c r="V46" s="181"/>
      <c r="W46" s="4"/>
      <c r="X46" s="181"/>
      <c r="Y46" s="181"/>
      <c r="Z46" s="181"/>
      <c r="AB46" s="181"/>
      <c r="AC46" s="181"/>
      <c r="AD46" s="181"/>
      <c r="AE46" s="4"/>
      <c r="AF46" s="181"/>
      <c r="AG46" s="181"/>
      <c r="AH46" s="181"/>
      <c r="AI46" s="4"/>
      <c r="AJ46" s="4"/>
      <c r="AS46" s="116"/>
      <c r="AT46" s="116" t="s">
        <v>112</v>
      </c>
      <c r="AU46" s="39" t="s">
        <v>259</v>
      </c>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row>
    <row r="47" spans="2:80" ht="13.95" customHeight="1" x14ac:dyDescent="0.3">
      <c r="I47" s="2"/>
      <c r="J47" s="2" t="s">
        <v>56</v>
      </c>
      <c r="K47" s="2"/>
      <c r="L47" s="172"/>
      <c r="M47" s="172"/>
      <c r="N47" s="172"/>
      <c r="P47" s="173"/>
      <c r="Q47" s="173"/>
      <c r="R47" s="173"/>
      <c r="S47" s="4"/>
      <c r="T47" s="173"/>
      <c r="U47" s="173"/>
      <c r="V47" s="173"/>
      <c r="W47" s="4"/>
      <c r="X47" s="173"/>
      <c r="Y47" s="173"/>
      <c r="Z47" s="173"/>
      <c r="AB47" s="173"/>
      <c r="AC47" s="173"/>
      <c r="AD47" s="173"/>
      <c r="AE47" s="4"/>
      <c r="AF47" s="173"/>
      <c r="AG47" s="173"/>
      <c r="AH47" s="173"/>
      <c r="AI47" s="4"/>
      <c r="AJ47" s="4"/>
      <c r="AL47" s="125">
        <f>SUM(AL48:AL53)</f>
        <v>0</v>
      </c>
      <c r="AM47" s="121">
        <f>SUM(AM48:AM53)</f>
        <v>0</v>
      </c>
      <c r="AN47" s="13" t="s">
        <v>12</v>
      </c>
      <c r="AS47" s="116"/>
      <c r="AT47" s="116" t="s">
        <v>115</v>
      </c>
      <c r="AU47" s="39" t="s">
        <v>345</v>
      </c>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row>
    <row r="48" spans="2:80" ht="13.95" customHeight="1" x14ac:dyDescent="0.3">
      <c r="D48" s="165" t="s">
        <v>397</v>
      </c>
      <c r="E48" s="165"/>
      <c r="F48" s="182">
        <f>Tables!$C$16</f>
        <v>4.24</v>
      </c>
      <c r="G48" s="182"/>
      <c r="H48" s="41"/>
      <c r="J48" s="2" t="str">
        <f>Tables!$A$16</f>
        <v>(2-yr)</v>
      </c>
      <c r="K48" s="2"/>
      <c r="L48" s="180"/>
      <c r="M48" s="180"/>
      <c r="N48" s="180"/>
      <c r="P48" s="180"/>
      <c r="Q48" s="180"/>
      <c r="R48" s="180"/>
      <c r="S48" s="4"/>
      <c r="T48" s="180"/>
      <c r="U48" s="180"/>
      <c r="V48" s="180"/>
      <c r="W48" s="4"/>
      <c r="X48" s="180"/>
      <c r="Y48" s="180"/>
      <c r="Z48" s="180"/>
      <c r="AB48" s="180"/>
      <c r="AC48" s="180"/>
      <c r="AD48" s="180"/>
      <c r="AE48" s="4"/>
      <c r="AF48" s="180"/>
      <c r="AG48" s="180"/>
      <c r="AH48" s="180"/>
      <c r="AI48" s="4"/>
      <c r="AJ48" s="4"/>
      <c r="AL48" s="121">
        <f t="shared" ref="AL48:AL53" si="2">IF(AF48=0,0,1)</f>
        <v>0</v>
      </c>
      <c r="AM48" s="121">
        <f t="shared" ref="AM48:AM53" si="3">IF(ISBLANK(AF48),0,1)</f>
        <v>0</v>
      </c>
      <c r="AS48" s="116"/>
      <c r="AT48" s="116"/>
      <c r="AU48" s="39" t="s">
        <v>346</v>
      </c>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row>
    <row r="49" spans="2:80" ht="13.95" customHeight="1" x14ac:dyDescent="0.3">
      <c r="D49" s="165"/>
      <c r="E49" s="165"/>
      <c r="F49" s="182">
        <f>Tables!$C$17</f>
        <v>5.3</v>
      </c>
      <c r="G49" s="182"/>
      <c r="H49" s="41"/>
      <c r="J49" s="2" t="str">
        <f>Tables!$A$17</f>
        <v>(5-yr)</v>
      </c>
      <c r="K49" s="2"/>
      <c r="L49" s="180"/>
      <c r="M49" s="180"/>
      <c r="N49" s="180"/>
      <c r="P49" s="179"/>
      <c r="Q49" s="179"/>
      <c r="R49" s="179"/>
      <c r="S49" s="4"/>
      <c r="T49" s="179"/>
      <c r="U49" s="179"/>
      <c r="V49" s="179"/>
      <c r="W49" s="4"/>
      <c r="X49" s="179"/>
      <c r="Y49" s="179"/>
      <c r="Z49" s="179"/>
      <c r="AB49" s="179"/>
      <c r="AC49" s="179"/>
      <c r="AD49" s="179"/>
      <c r="AE49" s="4"/>
      <c r="AF49" s="179"/>
      <c r="AG49" s="179"/>
      <c r="AH49" s="179"/>
      <c r="AI49" s="4"/>
      <c r="AJ49" s="4"/>
      <c r="AL49" s="121">
        <f t="shared" si="2"/>
        <v>0</v>
      </c>
      <c r="AM49" s="121">
        <f t="shared" si="3"/>
        <v>0</v>
      </c>
      <c r="AS49" s="116"/>
      <c r="AT49" s="116" t="s">
        <v>260</v>
      </c>
      <c r="AU49" s="39" t="s">
        <v>261</v>
      </c>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row>
    <row r="50" spans="2:80" ht="13.95" customHeight="1" x14ac:dyDescent="0.3">
      <c r="D50" s="165"/>
      <c r="E50" s="165"/>
      <c r="F50" s="182">
        <f>Tables!$C$18</f>
        <v>6.24</v>
      </c>
      <c r="G50" s="182"/>
      <c r="H50" s="41"/>
      <c r="J50" s="2" t="str">
        <f>Tables!$A$18</f>
        <v>(10-yr)</v>
      </c>
      <c r="K50" s="2"/>
      <c r="L50" s="180"/>
      <c r="M50" s="180"/>
      <c r="N50" s="180"/>
      <c r="P50" s="179"/>
      <c r="Q50" s="179"/>
      <c r="R50" s="179"/>
      <c r="S50" s="4"/>
      <c r="T50" s="179"/>
      <c r="U50" s="179"/>
      <c r="V50" s="179"/>
      <c r="W50" s="4"/>
      <c r="X50" s="179"/>
      <c r="Y50" s="179"/>
      <c r="Z50" s="179"/>
      <c r="AB50" s="179"/>
      <c r="AC50" s="179"/>
      <c r="AD50" s="179"/>
      <c r="AE50" s="4"/>
      <c r="AF50" s="179"/>
      <c r="AG50" s="179"/>
      <c r="AH50" s="179"/>
      <c r="AI50" s="4"/>
      <c r="AJ50" s="4"/>
      <c r="AL50" s="121">
        <f t="shared" si="2"/>
        <v>0</v>
      </c>
      <c r="AM50" s="121">
        <f t="shared" si="3"/>
        <v>0</v>
      </c>
      <c r="AS50" s="116"/>
      <c r="AT50" s="116" t="s">
        <v>262</v>
      </c>
      <c r="AU50" s="39" t="s">
        <v>347</v>
      </c>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row>
    <row r="51" spans="2:80" ht="13.95" customHeight="1" x14ac:dyDescent="0.3">
      <c r="D51" s="165"/>
      <c r="E51" s="165"/>
      <c r="F51" s="182">
        <f>Tables!$C$19</f>
        <v>7.64</v>
      </c>
      <c r="G51" s="182"/>
      <c r="H51" s="41"/>
      <c r="J51" s="2" t="str">
        <f>Tables!$A$19</f>
        <v>(25-yr)</v>
      </c>
      <c r="K51" s="2"/>
      <c r="L51" s="180"/>
      <c r="M51" s="180"/>
      <c r="N51" s="180"/>
      <c r="P51" s="179"/>
      <c r="Q51" s="179"/>
      <c r="R51" s="179"/>
      <c r="S51" s="4"/>
      <c r="T51" s="179"/>
      <c r="U51" s="179"/>
      <c r="V51" s="179"/>
      <c r="W51" s="4"/>
      <c r="X51" s="179"/>
      <c r="Y51" s="179"/>
      <c r="Z51" s="179"/>
      <c r="AB51" s="179"/>
      <c r="AC51" s="179"/>
      <c r="AD51" s="179"/>
      <c r="AE51" s="4"/>
      <c r="AF51" s="179"/>
      <c r="AG51" s="179"/>
      <c r="AH51" s="179"/>
      <c r="AI51" s="4"/>
      <c r="AJ51" s="4"/>
      <c r="AL51" s="121">
        <f t="shared" si="2"/>
        <v>0</v>
      </c>
      <c r="AM51" s="121">
        <f t="shared" si="3"/>
        <v>0</v>
      </c>
      <c r="AS51" s="116"/>
      <c r="AT51" s="116"/>
      <c r="AU51" s="39" t="s">
        <v>348</v>
      </c>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row>
    <row r="52" spans="2:80" ht="13.95" customHeight="1" x14ac:dyDescent="0.3">
      <c r="D52" s="165"/>
      <c r="E52" s="165"/>
      <c r="F52" s="182">
        <f>Tables!$C$20</f>
        <v>8.8000000000000007</v>
      </c>
      <c r="G52" s="182"/>
      <c r="H52" s="41"/>
      <c r="J52" s="2" t="str">
        <f>Tables!$A$20</f>
        <v>(50-yr)</v>
      </c>
      <c r="K52" s="2"/>
      <c r="L52" s="180"/>
      <c r="M52" s="180"/>
      <c r="N52" s="180"/>
      <c r="P52" s="179"/>
      <c r="Q52" s="179"/>
      <c r="R52" s="179"/>
      <c r="S52" s="4"/>
      <c r="T52" s="179"/>
      <c r="U52" s="179"/>
      <c r="V52" s="179"/>
      <c r="W52" s="4"/>
      <c r="X52" s="179"/>
      <c r="Y52" s="179"/>
      <c r="Z52" s="179"/>
      <c r="AB52" s="179"/>
      <c r="AC52" s="179"/>
      <c r="AD52" s="179"/>
      <c r="AE52" s="4"/>
      <c r="AF52" s="179"/>
      <c r="AG52" s="179"/>
      <c r="AH52" s="179"/>
      <c r="AI52" s="4"/>
      <c r="AJ52" s="4"/>
      <c r="AL52" s="121">
        <f t="shared" si="2"/>
        <v>0</v>
      </c>
      <c r="AM52" s="121">
        <f t="shared" si="3"/>
        <v>0</v>
      </c>
      <c r="AS52" s="116"/>
      <c r="AT52" s="116" t="s">
        <v>263</v>
      </c>
      <c r="AU52" s="39" t="s">
        <v>349</v>
      </c>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row>
    <row r="53" spans="2:80" ht="13.95" customHeight="1" x14ac:dyDescent="0.3">
      <c r="D53" s="165"/>
      <c r="E53" s="165"/>
      <c r="F53" s="182">
        <f>Tables!$C$21</f>
        <v>10</v>
      </c>
      <c r="G53" s="182"/>
      <c r="H53" s="41"/>
      <c r="J53" s="2" t="str">
        <f>Tables!$A$21</f>
        <v>(100-yr)</v>
      </c>
      <c r="K53" s="2"/>
      <c r="L53" s="180"/>
      <c r="M53" s="180"/>
      <c r="N53" s="180"/>
      <c r="P53" s="179"/>
      <c r="Q53" s="179"/>
      <c r="R53" s="179"/>
      <c r="S53" s="4"/>
      <c r="T53" s="179"/>
      <c r="U53" s="179"/>
      <c r="V53" s="179"/>
      <c r="W53" s="4"/>
      <c r="X53" s="179"/>
      <c r="Y53" s="179"/>
      <c r="Z53" s="179"/>
      <c r="AB53" s="179"/>
      <c r="AC53" s="179"/>
      <c r="AD53" s="179"/>
      <c r="AE53" s="4"/>
      <c r="AF53" s="179"/>
      <c r="AG53" s="179"/>
      <c r="AH53" s="179"/>
      <c r="AI53" s="4"/>
      <c r="AJ53" s="4"/>
      <c r="AL53" s="121">
        <f t="shared" si="2"/>
        <v>0</v>
      </c>
      <c r="AM53" s="121">
        <f t="shared" si="3"/>
        <v>0</v>
      </c>
      <c r="AS53" s="116"/>
      <c r="AU53" s="39" t="s">
        <v>350</v>
      </c>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row>
    <row r="54" spans="2:80" ht="4.95" customHeight="1" x14ac:dyDescent="0.3">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row>
    <row r="55" spans="2:80" ht="15" customHeight="1" x14ac:dyDescent="0.3">
      <c r="AK55" s="41"/>
      <c r="AS55" s="116">
        <v>12</v>
      </c>
      <c r="AT55" s="117" t="s">
        <v>264</v>
      </c>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row>
    <row r="56" spans="2:80" ht="15" customHeight="1" x14ac:dyDescent="0.3">
      <c r="J56" s="2" t="s">
        <v>398</v>
      </c>
      <c r="K56" s="70"/>
      <c r="L56" s="39" t="s">
        <v>130</v>
      </c>
      <c r="N56" s="70"/>
      <c r="O56" s="39" t="s">
        <v>131</v>
      </c>
      <c r="V56" s="2" t="s">
        <v>399</v>
      </c>
      <c r="W56" s="70"/>
      <c r="X56" s="39" t="s">
        <v>130</v>
      </c>
      <c r="Z56" s="70"/>
      <c r="AA56" s="39" t="s">
        <v>131</v>
      </c>
      <c r="AL56" s="121">
        <f>IF(AND(ISBLANK(K56),ISBLANK(N56)),1,2)</f>
        <v>1</v>
      </c>
      <c r="AM56" s="121">
        <f>IF(ISBLANK(K56),1,2)</f>
        <v>1</v>
      </c>
      <c r="AN56" s="121">
        <f>IF(AND(ISBLANK(W56),ISBLANK(Z56)),1,2)</f>
        <v>1</v>
      </c>
      <c r="AO56" s="121">
        <f>IF(ISBLANK(W56),1,2)</f>
        <v>1</v>
      </c>
      <c r="AP56" s="23"/>
      <c r="AS56" s="116"/>
      <c r="AT56" s="116" t="s">
        <v>98</v>
      </c>
      <c r="AU56" s="39" t="s">
        <v>265</v>
      </c>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row>
    <row r="57" spans="2:80" ht="15" customHeight="1" x14ac:dyDescent="0.3">
      <c r="AK57" s="41"/>
      <c r="AS57" s="116"/>
      <c r="AT57" s="116" t="s">
        <v>99</v>
      </c>
      <c r="AU57" s="39" t="s">
        <v>266</v>
      </c>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row>
    <row r="58" spans="2:80" ht="15" customHeight="1" x14ac:dyDescent="0.3">
      <c r="B58" s="166">
        <f>Tables!$C$13</f>
        <v>45566</v>
      </c>
      <c r="C58" s="166"/>
      <c r="D58" s="166"/>
      <c r="E58" s="166"/>
      <c r="F58" s="166"/>
      <c r="G58" s="166"/>
      <c r="H58" s="166"/>
      <c r="R58" s="167" t="s">
        <v>292</v>
      </c>
      <c r="S58" s="167"/>
      <c r="T58" s="167"/>
      <c r="U58" s="167"/>
      <c r="AK58" s="41"/>
      <c r="AT58" s="116" t="s">
        <v>113</v>
      </c>
      <c r="AU58" s="39" t="s">
        <v>267</v>
      </c>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row>
    <row r="59" spans="2:80" ht="15" customHeight="1" x14ac:dyDescent="0.3">
      <c r="C59" s="2" t="s">
        <v>1</v>
      </c>
      <c r="D59" s="169">
        <f>IF(ISBLANK($E$13),0,$E$13)</f>
        <v>0</v>
      </c>
      <c r="E59" s="169"/>
      <c r="F59" s="169"/>
      <c r="G59" s="169"/>
      <c r="H59" s="169"/>
      <c r="I59" s="169"/>
      <c r="J59" s="169"/>
      <c r="K59" s="169"/>
      <c r="L59" s="169"/>
      <c r="M59" s="169"/>
      <c r="N59" s="169"/>
      <c r="O59" s="169"/>
      <c r="P59" s="169"/>
      <c r="Q59" s="169"/>
      <c r="R59" s="169"/>
      <c r="S59" s="169"/>
      <c r="T59" s="169"/>
      <c r="U59" s="169"/>
      <c r="V59" s="169"/>
      <c r="W59" s="169"/>
      <c r="X59" s="169"/>
      <c r="Y59" s="169"/>
      <c r="AD59" s="2" t="s">
        <v>21</v>
      </c>
      <c r="AE59" s="170">
        <f>IF(ISBLANK($AE$13),0,$AE$13)</f>
        <v>0</v>
      </c>
      <c r="AF59" s="170"/>
      <c r="AG59" s="170"/>
      <c r="AH59" s="170"/>
      <c r="AI59" s="170"/>
      <c r="AJ59" s="170"/>
      <c r="AM59" s="121">
        <f t="shared" ref="AM59" si="4">IF(ISBLANK(AF59),0,1)</f>
        <v>0</v>
      </c>
      <c r="AT59" s="116" t="s">
        <v>114</v>
      </c>
      <c r="AU59" s="39" t="s">
        <v>268</v>
      </c>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row>
    <row r="60" spans="2:80" ht="15" customHeight="1" x14ac:dyDescent="0.3">
      <c r="B60" s="1" t="s">
        <v>236</v>
      </c>
      <c r="C60" s="1"/>
      <c r="D60" s="1"/>
      <c r="E60" s="1"/>
      <c r="F60" s="1"/>
      <c r="G60" s="1"/>
      <c r="H60" s="1"/>
      <c r="K60" s="2"/>
      <c r="L60" s="2"/>
      <c r="M60" s="2"/>
      <c r="N60" s="2"/>
      <c r="O60" s="2"/>
      <c r="P60" s="2"/>
      <c r="Q60" s="2"/>
      <c r="R60" s="2"/>
      <c r="S60" s="2"/>
      <c r="T60" s="2"/>
      <c r="U60" s="2"/>
      <c r="V60" s="2"/>
      <c r="W60" s="2"/>
      <c r="X60" s="2"/>
      <c r="Y60" s="2"/>
      <c r="Z60" s="2"/>
      <c r="AA60" s="2"/>
      <c r="AB60" s="2"/>
      <c r="AD60" s="2" t="s">
        <v>35</v>
      </c>
      <c r="AE60" s="171">
        <f>IF(ISBLANK($AE$14),0,$AE$14)</f>
        <v>0</v>
      </c>
      <c r="AF60" s="171"/>
      <c r="AG60" s="171"/>
      <c r="AH60" s="171"/>
      <c r="AI60" s="171"/>
      <c r="AJ60" s="171"/>
      <c r="AK60" s="2"/>
      <c r="AL60" s="86"/>
      <c r="AM60" s="86"/>
      <c r="AN60" s="86"/>
      <c r="AO60" s="86"/>
      <c r="AP60" s="86"/>
      <c r="AT60" s="116" t="s">
        <v>112</v>
      </c>
      <c r="AU60" s="39" t="s">
        <v>269</v>
      </c>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row>
    <row r="61" spans="2:80" ht="4.95" customHeight="1" x14ac:dyDescent="0.3">
      <c r="AK61" s="2"/>
      <c r="AL61" s="86"/>
      <c r="AN61" s="86"/>
      <c r="AO61" s="86"/>
      <c r="AP61" s="86"/>
    </row>
    <row r="62" spans="2:80" ht="15" customHeight="1" x14ac:dyDescent="0.3">
      <c r="H62" s="2" t="s">
        <v>202</v>
      </c>
      <c r="J62" s="70"/>
      <c r="K62" s="39" t="s">
        <v>203</v>
      </c>
      <c r="M62" s="70"/>
      <c r="N62" s="39" t="s">
        <v>204</v>
      </c>
      <c r="P62" s="70"/>
      <c r="Q62" s="39" t="s">
        <v>205</v>
      </c>
      <c r="S62" s="70"/>
      <c r="T62" s="39" t="s">
        <v>206</v>
      </c>
      <c r="AK62" s="2"/>
      <c r="AL62" s="121">
        <f>IF(AND(ISBLANK(J62),ISBLANK(M62),ISBLANK(P62),ISBLANK(S62)),1,2)</f>
        <v>1</v>
      </c>
      <c r="AN62" s="86"/>
      <c r="AO62" s="86"/>
      <c r="AP62" s="86"/>
      <c r="AT62" s="116" t="s">
        <v>115</v>
      </c>
      <c r="AU62" s="39" t="s">
        <v>270</v>
      </c>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row>
    <row r="63" spans="2:80" ht="4.95" customHeight="1" x14ac:dyDescent="0.3">
      <c r="AK63" s="2"/>
      <c r="AN63" s="86"/>
      <c r="AO63" s="86"/>
      <c r="AP63" s="8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row>
    <row r="64" spans="2:80" ht="15" customHeight="1" x14ac:dyDescent="0.3">
      <c r="K64" s="2" t="s">
        <v>208</v>
      </c>
      <c r="L64" s="172"/>
      <c r="M64" s="172"/>
      <c r="N64" s="172"/>
      <c r="O64" s="39" t="s">
        <v>209</v>
      </c>
      <c r="AD64" s="2" t="s">
        <v>278</v>
      </c>
      <c r="AE64" s="70"/>
      <c r="AF64" s="39" t="s">
        <v>130</v>
      </c>
      <c r="AG64" s="2"/>
      <c r="AH64" s="70"/>
      <c r="AI64" s="39" t="s">
        <v>131</v>
      </c>
      <c r="AK64" s="2"/>
      <c r="AL64" s="121">
        <f>IF(AND(ISBLANK(AE64),ISBLANK(AH64)),1,2)</f>
        <v>1</v>
      </c>
      <c r="AN64" s="86"/>
      <c r="AO64" s="86"/>
      <c r="AP64" s="86"/>
      <c r="AS64" s="116"/>
      <c r="AT64" s="116" t="s">
        <v>260</v>
      </c>
      <c r="AU64" s="39" t="s">
        <v>271</v>
      </c>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row>
    <row r="65" spans="3:83" ht="4.95" customHeight="1" x14ac:dyDescent="0.3">
      <c r="AK65" s="2"/>
      <c r="AN65" s="86"/>
      <c r="AO65" s="86"/>
      <c r="AP65" s="86"/>
      <c r="AT65" s="11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row>
    <row r="66" spans="3:83" ht="15" customHeight="1" x14ac:dyDescent="0.3">
      <c r="G66" s="2" t="s">
        <v>237</v>
      </c>
      <c r="H66" s="172"/>
      <c r="I66" s="172"/>
      <c r="J66" s="172"/>
      <c r="K66" s="39" t="s">
        <v>37</v>
      </c>
      <c r="S66" s="2" t="s">
        <v>207</v>
      </c>
      <c r="T66" s="172"/>
      <c r="U66" s="172"/>
      <c r="V66" s="172"/>
      <c r="W66" s="39" t="s">
        <v>45</v>
      </c>
      <c r="AB66" s="2" t="s">
        <v>238</v>
      </c>
      <c r="AC66" s="172"/>
      <c r="AD66" s="172"/>
      <c r="AE66" s="172"/>
      <c r="AF66" s="39" t="s">
        <v>239</v>
      </c>
      <c r="AK66" s="2"/>
      <c r="AN66" s="86"/>
      <c r="AO66" s="86"/>
      <c r="AP66" s="86"/>
      <c r="AT66" s="116" t="s">
        <v>262</v>
      </c>
      <c r="AU66" s="39" t="s">
        <v>272</v>
      </c>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row>
    <row r="67" spans="3:83" ht="4.95" customHeight="1" x14ac:dyDescent="0.3">
      <c r="K67" s="2"/>
      <c r="O67" s="2"/>
      <c r="W67" s="2"/>
      <c r="AE67" s="2"/>
      <c r="AK67" s="2"/>
      <c r="AN67" s="86"/>
      <c r="AO67" s="86"/>
      <c r="AP67" s="86"/>
      <c r="AS67" s="116"/>
    </row>
    <row r="68" spans="3:83" ht="15" customHeight="1" x14ac:dyDescent="0.3">
      <c r="G68" s="2" t="s">
        <v>211</v>
      </c>
      <c r="H68" s="70"/>
      <c r="I68" s="39" t="s">
        <v>130</v>
      </c>
      <c r="J68" s="2"/>
      <c r="K68" s="70"/>
      <c r="L68" s="39" t="s">
        <v>131</v>
      </c>
      <c r="O68" s="2" t="s">
        <v>210</v>
      </c>
      <c r="P68" s="164"/>
      <c r="Q68" s="164"/>
      <c r="R68" s="164"/>
      <c r="S68" s="164"/>
      <c r="T68" s="164"/>
      <c r="W68" s="2"/>
      <c r="X68" s="2"/>
      <c r="Y68" s="2"/>
      <c r="AK68" s="2"/>
      <c r="AL68" s="121">
        <f>IF(AND(ISBLANK(H68),ISBLANK(K68)),1,2)</f>
        <v>1</v>
      </c>
      <c r="AM68" s="121">
        <f>IF(ISBLANK(H68),1,2)</f>
        <v>1</v>
      </c>
      <c r="AN68" s="86"/>
      <c r="AO68" s="86"/>
      <c r="AP68" s="86"/>
      <c r="AS68" s="116"/>
      <c r="AT68" s="116" t="s">
        <v>263</v>
      </c>
      <c r="AU68" s="39" t="s">
        <v>273</v>
      </c>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row>
    <row r="69" spans="3:83" ht="4.95" customHeight="1" x14ac:dyDescent="0.3">
      <c r="G69" s="2"/>
      <c r="H69" s="2"/>
      <c r="I69" s="2"/>
      <c r="J69" s="2"/>
      <c r="K69" s="2"/>
      <c r="L69" s="2"/>
      <c r="W69" s="2"/>
      <c r="X69" s="2"/>
      <c r="Y69" s="2"/>
      <c r="AK69" s="2"/>
      <c r="AN69" s="86"/>
      <c r="AO69" s="86"/>
      <c r="AP69" s="86"/>
      <c r="AS69" s="11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row>
    <row r="70" spans="3:83" ht="14.55" customHeight="1" x14ac:dyDescent="0.3">
      <c r="C70" s="93" t="s">
        <v>220</v>
      </c>
      <c r="N70" s="4" t="s">
        <v>212</v>
      </c>
      <c r="R70" s="167" t="s">
        <v>213</v>
      </c>
      <c r="S70" s="167"/>
      <c r="T70" s="167"/>
      <c r="W70" s="167" t="s">
        <v>214</v>
      </c>
      <c r="X70" s="167"/>
      <c r="Y70" s="167"/>
      <c r="AN70" s="86"/>
      <c r="AO70" s="86"/>
      <c r="AP70" s="86"/>
      <c r="AS70" s="116"/>
      <c r="AT70" s="116" t="s">
        <v>276</v>
      </c>
      <c r="AU70" s="39" t="s">
        <v>274</v>
      </c>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row>
    <row r="71" spans="3:83" ht="14.55" customHeight="1" x14ac:dyDescent="0.3">
      <c r="L71" s="2" t="s">
        <v>241</v>
      </c>
      <c r="M71" s="172"/>
      <c r="N71" s="172"/>
      <c r="O71" s="172"/>
      <c r="P71" s="39" t="s">
        <v>44</v>
      </c>
      <c r="R71" s="172"/>
      <c r="S71" s="172"/>
      <c r="T71" s="172"/>
      <c r="U71" s="39" t="s">
        <v>45</v>
      </c>
      <c r="W71" s="172"/>
      <c r="X71" s="172"/>
      <c r="Y71" s="172"/>
      <c r="Z71" s="39" t="s">
        <v>45</v>
      </c>
      <c r="AN71" s="86"/>
      <c r="AO71" s="86"/>
      <c r="AP71" s="86"/>
      <c r="AS71" s="116"/>
      <c r="AT71" s="116" t="s">
        <v>277</v>
      </c>
      <c r="AU71" s="39" t="s">
        <v>275</v>
      </c>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row>
    <row r="72" spans="3:83" ht="14.55" customHeight="1" x14ac:dyDescent="0.3">
      <c r="L72" s="2" t="s">
        <v>242</v>
      </c>
      <c r="M72" s="173"/>
      <c r="N72" s="173"/>
      <c r="O72" s="173"/>
      <c r="P72" s="39" t="s">
        <v>44</v>
      </c>
      <c r="R72" s="173"/>
      <c r="S72" s="173"/>
      <c r="T72" s="173"/>
      <c r="U72" s="39" t="s">
        <v>45</v>
      </c>
      <c r="W72" s="173"/>
      <c r="X72" s="173"/>
      <c r="Y72" s="173"/>
      <c r="Z72" s="39" t="s">
        <v>45</v>
      </c>
      <c r="AN72" s="86"/>
      <c r="AO72" s="86"/>
      <c r="AP72" s="86"/>
      <c r="AS72" s="11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row>
    <row r="73" spans="3:83" ht="14.55" customHeight="1" x14ac:dyDescent="0.3">
      <c r="L73" s="2" t="s">
        <v>243</v>
      </c>
      <c r="M73" s="173"/>
      <c r="N73" s="173"/>
      <c r="O73" s="173"/>
      <c r="P73" s="39" t="s">
        <v>44</v>
      </c>
      <c r="R73" s="173"/>
      <c r="S73" s="173"/>
      <c r="T73" s="173"/>
      <c r="U73" s="39" t="s">
        <v>45</v>
      </c>
      <c r="W73" s="173"/>
      <c r="X73" s="173"/>
      <c r="Y73" s="173"/>
      <c r="Z73" s="39" t="s">
        <v>45</v>
      </c>
      <c r="AN73" s="86"/>
      <c r="AO73" s="86"/>
      <c r="AP73" s="86"/>
      <c r="AS73" s="24">
        <v>13</v>
      </c>
      <c r="AT73" s="39" t="s">
        <v>373</v>
      </c>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row>
    <row r="74" spans="3:83" ht="4.95" customHeight="1" x14ac:dyDescent="0.3">
      <c r="L74" s="2"/>
      <c r="M74" s="101"/>
      <c r="N74" s="101"/>
      <c r="O74" s="101"/>
      <c r="R74" s="40"/>
      <c r="S74" s="40"/>
      <c r="T74" s="40"/>
      <c r="W74" s="40"/>
      <c r="X74" s="40"/>
      <c r="Y74" s="40"/>
      <c r="AN74" s="86"/>
      <c r="AO74" s="86"/>
      <c r="AP74" s="86"/>
      <c r="AX74" s="116"/>
      <c r="AY74" s="116"/>
      <c r="AZ74" s="116"/>
      <c r="BA74" s="116"/>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row>
    <row r="75" spans="3:83" ht="14.55" customHeight="1" x14ac:dyDescent="0.3">
      <c r="C75" s="93" t="s">
        <v>217</v>
      </c>
      <c r="L75" s="2" t="s">
        <v>172</v>
      </c>
      <c r="M75" s="164"/>
      <c r="N75" s="164"/>
      <c r="O75" s="164"/>
      <c r="P75" s="164"/>
      <c r="AC75" s="70"/>
      <c r="AD75" s="39" t="s">
        <v>221</v>
      </c>
      <c r="AL75" s="121">
        <f>IF(ISBLANK(M75),1,2)</f>
        <v>1</v>
      </c>
      <c r="AM75" s="121">
        <f>IF(ISBLANK(AC75),1,2)</f>
        <v>1</v>
      </c>
      <c r="AN75" s="86"/>
      <c r="AO75" s="86"/>
      <c r="AP75" s="86"/>
      <c r="AX75" s="116"/>
      <c r="AY75" s="116"/>
      <c r="AZ75" s="116"/>
      <c r="BA75" s="116"/>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row>
    <row r="76" spans="3:83" ht="14.55" customHeight="1" x14ac:dyDescent="0.3">
      <c r="L76" s="2" t="s">
        <v>219</v>
      </c>
      <c r="M76" s="173"/>
      <c r="N76" s="173"/>
      <c r="O76" s="173"/>
      <c r="P76" s="39" t="s">
        <v>45</v>
      </c>
      <c r="V76" s="2" t="s">
        <v>171</v>
      </c>
      <c r="W76" s="172"/>
      <c r="X76" s="172"/>
      <c r="Y76" s="172"/>
      <c r="Z76" s="39" t="s">
        <v>44</v>
      </c>
      <c r="AN76" s="86"/>
      <c r="AO76" s="86"/>
      <c r="AP76" s="86"/>
      <c r="AX76" s="116"/>
      <c r="AY76" s="116"/>
      <c r="AZ76" s="116"/>
      <c r="BA76" s="116"/>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row>
    <row r="77" spans="3:83" ht="14.55" customHeight="1" x14ac:dyDescent="0.3">
      <c r="L77" s="2" t="s">
        <v>218</v>
      </c>
      <c r="M77" s="173"/>
      <c r="N77" s="173"/>
      <c r="O77" s="173"/>
      <c r="P77" s="39" t="s">
        <v>45</v>
      </c>
      <c r="V77" s="2" t="s">
        <v>171</v>
      </c>
      <c r="W77" s="173"/>
      <c r="X77" s="173"/>
      <c r="Y77" s="173"/>
      <c r="Z77" s="39" t="s">
        <v>44</v>
      </c>
      <c r="AN77" s="86"/>
      <c r="AO77" s="86"/>
      <c r="AP77" s="86"/>
      <c r="AS77" s="116"/>
      <c r="AW77" s="116"/>
      <c r="AX77" s="116"/>
      <c r="AY77" s="116"/>
      <c r="AZ77" s="116"/>
      <c r="BA77" s="116"/>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row>
    <row r="78" spans="3:83" ht="4.95" customHeight="1" x14ac:dyDescent="0.3">
      <c r="AN78" s="86"/>
      <c r="AO78" s="86"/>
      <c r="AP78" s="86"/>
      <c r="AS78" s="116"/>
      <c r="AW78" s="116"/>
      <c r="AX78" s="116"/>
      <c r="AY78" s="116"/>
      <c r="AZ78" s="116"/>
      <c r="BA78" s="116"/>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36"/>
    </row>
    <row r="79" spans="3:83" ht="14.55" customHeight="1" x14ac:dyDescent="0.3">
      <c r="C79" s="93" t="s">
        <v>240</v>
      </c>
      <c r="L79" s="2" t="s">
        <v>172</v>
      </c>
      <c r="M79" s="164"/>
      <c r="N79" s="164"/>
      <c r="O79" s="164"/>
      <c r="P79" s="164"/>
      <c r="AC79" s="70"/>
      <c r="AD79" s="39" t="s">
        <v>252</v>
      </c>
      <c r="AL79" s="121">
        <f>IF(ISBLANK(M79),1,2)</f>
        <v>1</v>
      </c>
      <c r="AM79" s="121">
        <f>IF(ISBLANK(AC79),1,2)</f>
        <v>1</v>
      </c>
      <c r="AN79" s="86"/>
      <c r="AO79" s="86"/>
      <c r="AP79" s="86"/>
      <c r="AS79" s="116"/>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36"/>
    </row>
    <row r="80" spans="3:83" ht="14.55" customHeight="1" x14ac:dyDescent="0.3">
      <c r="L80" s="2" t="s">
        <v>171</v>
      </c>
      <c r="M80" s="173"/>
      <c r="N80" s="173"/>
      <c r="O80" s="173"/>
      <c r="P80" s="39" t="s">
        <v>44</v>
      </c>
      <c r="V80" s="2" t="s">
        <v>251</v>
      </c>
      <c r="W80" s="174"/>
      <c r="X80" s="174"/>
      <c r="Y80" s="174"/>
      <c r="Z80" s="39" t="s">
        <v>215</v>
      </c>
      <c r="AN80" s="86"/>
      <c r="AO80" s="86"/>
      <c r="AP80" s="86"/>
      <c r="AS80" s="116"/>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36"/>
    </row>
    <row r="81" spans="2:83" ht="4.95" customHeight="1" x14ac:dyDescent="0.3">
      <c r="AN81" s="86"/>
      <c r="AO81" s="86"/>
      <c r="AP81" s="86"/>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36"/>
    </row>
    <row r="82" spans="2:83" ht="14.55" customHeight="1" x14ac:dyDescent="0.3">
      <c r="C82" s="93" t="s">
        <v>244</v>
      </c>
      <c r="L82" s="2" t="s">
        <v>172</v>
      </c>
      <c r="M82" s="164"/>
      <c r="N82" s="164"/>
      <c r="O82" s="164"/>
      <c r="P82" s="164"/>
      <c r="V82" s="2" t="s">
        <v>173</v>
      </c>
      <c r="W82" s="164"/>
      <c r="X82" s="164"/>
      <c r="Y82" s="164"/>
      <c r="AC82" s="70"/>
      <c r="AD82" s="39" t="s">
        <v>285</v>
      </c>
      <c r="AL82" s="121">
        <f>IF(ISBLANK(AC82),1,2)</f>
        <v>1</v>
      </c>
      <c r="AN82" s="86"/>
      <c r="AO82" s="86"/>
      <c r="AP82" s="86"/>
      <c r="AS82" s="116"/>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36"/>
    </row>
    <row r="83" spans="2:83" ht="4.95" customHeight="1" x14ac:dyDescent="0.3">
      <c r="C83" s="93"/>
      <c r="L83" s="2"/>
      <c r="M83" s="2"/>
      <c r="N83" s="2"/>
      <c r="O83" s="2"/>
      <c r="P83" s="2"/>
      <c r="Q83" s="2"/>
      <c r="R83" s="2"/>
      <c r="S83" s="2"/>
      <c r="T83" s="2"/>
      <c r="U83" s="2"/>
      <c r="V83" s="2"/>
      <c r="W83" s="2"/>
      <c r="X83" s="2"/>
      <c r="Y83" s="2"/>
      <c r="Z83" s="2"/>
      <c r="AA83" s="2"/>
      <c r="AB83" s="2"/>
      <c r="AC83" s="2"/>
      <c r="AD83" s="2"/>
      <c r="AN83" s="86"/>
      <c r="AO83" s="86"/>
      <c r="AP83" s="86"/>
      <c r="AS83" s="95"/>
      <c r="AT83" s="95"/>
      <c r="AU83" s="95"/>
      <c r="AV83" s="95"/>
      <c r="AW83" s="95"/>
      <c r="AX83" s="95"/>
      <c r="AY83" s="95"/>
      <c r="AZ83" s="95"/>
      <c r="BA83" s="95"/>
      <c r="BB83" s="95"/>
      <c r="BC83" s="95"/>
      <c r="BD83" s="95"/>
      <c r="BE83" s="95"/>
      <c r="BF83" s="95"/>
      <c r="BG83" s="95"/>
      <c r="BH83" s="95"/>
      <c r="BI83" s="95"/>
      <c r="BJ83" s="95"/>
      <c r="BK83" s="95"/>
      <c r="BL83" s="95"/>
      <c r="BM83" s="95"/>
      <c r="BN83" s="95"/>
      <c r="BO83" s="95"/>
      <c r="BP83" s="95"/>
      <c r="BQ83" s="95"/>
      <c r="BR83" s="95"/>
      <c r="BS83" s="95"/>
      <c r="BT83" s="95"/>
      <c r="BU83" s="95"/>
      <c r="BV83" s="95"/>
      <c r="BW83" s="95"/>
      <c r="BX83" s="95"/>
      <c r="BY83" s="95"/>
      <c r="BZ83" s="95"/>
      <c r="CA83" s="95"/>
      <c r="CB83" s="95"/>
      <c r="CC83" s="95"/>
      <c r="CD83" s="95"/>
      <c r="CE83" s="36"/>
    </row>
    <row r="84" spans="2:83" ht="14.55" customHeight="1" x14ac:dyDescent="0.3">
      <c r="L84" s="2" t="s">
        <v>171</v>
      </c>
      <c r="M84" s="172"/>
      <c r="N84" s="172"/>
      <c r="O84" s="172"/>
      <c r="P84" s="39" t="s">
        <v>44</v>
      </c>
      <c r="V84" s="2" t="s">
        <v>170</v>
      </c>
      <c r="W84" s="172"/>
      <c r="X84" s="172"/>
      <c r="Y84" s="172"/>
      <c r="Z84" s="39" t="s">
        <v>45</v>
      </c>
      <c r="AE84" s="2" t="s">
        <v>174</v>
      </c>
      <c r="AF84" s="172"/>
      <c r="AG84" s="172"/>
      <c r="AH84" s="172"/>
      <c r="AI84" s="39" t="s">
        <v>45</v>
      </c>
      <c r="AL84" s="121">
        <f>IF(ISBLANK(M84),1,2)</f>
        <v>1</v>
      </c>
      <c r="AM84" s="121">
        <f>IF(AND(ISBLANK(W84),ISBLANK(AF84)),1,2)</f>
        <v>1</v>
      </c>
      <c r="AN84" s="86"/>
      <c r="AO84" s="86"/>
      <c r="AP84" s="86"/>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36"/>
    </row>
    <row r="85" spans="2:83" ht="4.95" customHeight="1" x14ac:dyDescent="0.3">
      <c r="AN85" s="86"/>
      <c r="AO85" s="86"/>
      <c r="AP85" s="86"/>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36"/>
    </row>
    <row r="86" spans="2:83" ht="14.55" customHeight="1" x14ac:dyDescent="0.3">
      <c r="L86" s="2" t="s">
        <v>279</v>
      </c>
      <c r="M86" s="172"/>
      <c r="N86" s="172"/>
      <c r="O86" s="172"/>
      <c r="P86" s="39" t="s">
        <v>45</v>
      </c>
      <c r="V86" s="2" t="s">
        <v>280</v>
      </c>
      <c r="W86" s="172"/>
      <c r="X86" s="172"/>
      <c r="Y86" s="172"/>
      <c r="Z86" s="39" t="s">
        <v>45</v>
      </c>
      <c r="AD86" s="2" t="s">
        <v>168</v>
      </c>
      <c r="AE86" s="22"/>
      <c r="AF86" s="39" t="s">
        <v>130</v>
      </c>
      <c r="AG86" s="2"/>
      <c r="AH86" s="22"/>
      <c r="AI86" s="39" t="s">
        <v>131</v>
      </c>
      <c r="AL86" s="121">
        <f>IF(AND(ISBLANK(AE86),ISBLANK(AH86)),1,2)</f>
        <v>1</v>
      </c>
      <c r="AN86" s="86"/>
      <c r="AO86" s="86"/>
      <c r="AP86" s="86"/>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36"/>
    </row>
    <row r="87" spans="2:83" ht="4.95" customHeight="1" x14ac:dyDescent="0.3">
      <c r="AN87" s="86"/>
      <c r="AO87" s="86"/>
      <c r="AP87" s="86"/>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36"/>
    </row>
    <row r="88" spans="2:83" ht="14.55" customHeight="1" x14ac:dyDescent="0.3">
      <c r="C88" s="93" t="s">
        <v>245</v>
      </c>
      <c r="L88" s="2" t="s">
        <v>172</v>
      </c>
      <c r="M88" s="164"/>
      <c r="N88" s="164"/>
      <c r="O88" s="164"/>
      <c r="P88" s="164"/>
      <c r="V88" s="2" t="s">
        <v>173</v>
      </c>
      <c r="W88" s="175"/>
      <c r="X88" s="175"/>
      <c r="Y88" s="175"/>
      <c r="AE88" s="2" t="s">
        <v>226</v>
      </c>
      <c r="AF88" s="172"/>
      <c r="AG88" s="172"/>
      <c r="AH88" s="172"/>
      <c r="AI88" s="39" t="s">
        <v>45</v>
      </c>
      <c r="AN88" s="86"/>
      <c r="AO88" s="86"/>
      <c r="AP88" s="86"/>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36"/>
    </row>
    <row r="89" spans="2:83" ht="14.55" customHeight="1" x14ac:dyDescent="0.3">
      <c r="L89" s="2" t="s">
        <v>171</v>
      </c>
      <c r="M89" s="172"/>
      <c r="N89" s="172"/>
      <c r="O89" s="172"/>
      <c r="P89" s="39" t="s">
        <v>44</v>
      </c>
      <c r="V89" s="2" t="s">
        <v>170</v>
      </c>
      <c r="W89" s="173"/>
      <c r="X89" s="173"/>
      <c r="Y89" s="173"/>
      <c r="Z89" s="39" t="s">
        <v>45</v>
      </c>
      <c r="AE89" s="2" t="s">
        <v>174</v>
      </c>
      <c r="AF89" s="172"/>
      <c r="AG89" s="172"/>
      <c r="AH89" s="172"/>
      <c r="AI89" s="39" t="s">
        <v>45</v>
      </c>
      <c r="AL89" s="121">
        <f>IF(ISBLANK(M89),1,2)</f>
        <v>1</v>
      </c>
      <c r="AM89" s="121">
        <f>IF(AND(ISBLANK(W89),ISBLANK(AF89)),1,2)</f>
        <v>1</v>
      </c>
      <c r="AN89" s="86"/>
      <c r="AO89" s="86"/>
      <c r="AP89" s="86"/>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5"/>
      <c r="BU89" s="95"/>
      <c r="BV89" s="95"/>
      <c r="BW89" s="95"/>
      <c r="BX89" s="95"/>
      <c r="BY89" s="95"/>
      <c r="BZ89" s="95"/>
      <c r="CA89" s="95"/>
      <c r="CB89" s="95"/>
      <c r="CC89" s="95"/>
      <c r="CD89" s="95"/>
      <c r="CE89" s="36"/>
    </row>
    <row r="90" spans="2:83" ht="4.95" customHeight="1" x14ac:dyDescent="0.3">
      <c r="AE90" s="2"/>
      <c r="AF90" s="40"/>
      <c r="AG90" s="40"/>
      <c r="AH90" s="40"/>
      <c r="AN90" s="86"/>
      <c r="AO90" s="86"/>
      <c r="AP90" s="86"/>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36"/>
    </row>
    <row r="91" spans="2:83" ht="14.55" customHeight="1" x14ac:dyDescent="0.3">
      <c r="C91" s="93" t="s">
        <v>246</v>
      </c>
      <c r="L91" s="2" t="s">
        <v>247</v>
      </c>
      <c r="M91" s="172"/>
      <c r="N91" s="172"/>
      <c r="O91" s="172"/>
      <c r="P91" s="39" t="s">
        <v>44</v>
      </c>
      <c r="V91" s="2" t="s">
        <v>248</v>
      </c>
      <c r="W91" s="172"/>
      <c r="X91" s="172"/>
      <c r="Y91" s="172"/>
      <c r="Z91" s="39" t="s">
        <v>249</v>
      </c>
      <c r="AN91" s="86" t="s">
        <v>169</v>
      </c>
      <c r="AO91" s="121">
        <f>IF(ISBLANK(K95),1,2)</f>
        <v>1</v>
      </c>
      <c r="AP91" s="23"/>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95"/>
      <c r="BR91" s="95"/>
      <c r="BS91" s="95"/>
      <c r="BT91" s="95"/>
      <c r="BU91" s="95"/>
      <c r="BV91" s="95"/>
      <c r="BW91" s="95"/>
      <c r="BX91" s="95"/>
      <c r="BY91" s="95"/>
      <c r="BZ91" s="95"/>
      <c r="CA91" s="95"/>
      <c r="CB91" s="95"/>
      <c r="CC91" s="95"/>
      <c r="CD91" s="95"/>
      <c r="CE91" s="36"/>
    </row>
    <row r="92" spans="2:83" ht="4.95" customHeight="1" x14ac:dyDescent="0.3">
      <c r="AN92" s="86"/>
      <c r="AO92" s="86"/>
      <c r="AP92" s="86"/>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36"/>
    </row>
    <row r="93" spans="2:83" ht="14.55" customHeight="1" x14ac:dyDescent="0.3">
      <c r="C93" s="93" t="s">
        <v>250</v>
      </c>
      <c r="L93" s="2" t="s">
        <v>247</v>
      </c>
      <c r="M93" s="172"/>
      <c r="N93" s="172"/>
      <c r="O93" s="172"/>
      <c r="P93" s="39" t="s">
        <v>44</v>
      </c>
      <c r="V93" s="2" t="s">
        <v>248</v>
      </c>
      <c r="W93" s="172"/>
      <c r="X93" s="172"/>
      <c r="Y93" s="172"/>
      <c r="Z93" s="39" t="s">
        <v>249</v>
      </c>
      <c r="AE93" s="2" t="s">
        <v>253</v>
      </c>
      <c r="AF93" s="174"/>
      <c r="AG93" s="174"/>
      <c r="AH93" s="174"/>
      <c r="AI93" s="39" t="s">
        <v>254</v>
      </c>
      <c r="AN93" s="86" t="s">
        <v>369</v>
      </c>
      <c r="AO93" s="121">
        <f>IF(AND(ISBLANK(K95),ISBLANK(N95)),1,IF(LEN(K95)&gt;0,1,0))</f>
        <v>1</v>
      </c>
      <c r="AP93" s="23"/>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95"/>
      <c r="BR93" s="95"/>
      <c r="BS93" s="95"/>
      <c r="BT93" s="95"/>
      <c r="BU93" s="95"/>
      <c r="BV93" s="95"/>
      <c r="BW93" s="95"/>
      <c r="BX93" s="95"/>
      <c r="BY93" s="95"/>
      <c r="BZ93" s="95"/>
      <c r="CA93" s="95"/>
      <c r="CB93" s="95"/>
      <c r="CC93" s="95"/>
      <c r="CD93" s="95"/>
      <c r="CE93" s="36"/>
    </row>
    <row r="94" spans="2:83" ht="4.95" customHeight="1" x14ac:dyDescent="0.3">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row>
    <row r="95" spans="2:83" ht="14.55" customHeight="1" x14ac:dyDescent="0.3">
      <c r="B95" s="1" t="s">
        <v>14</v>
      </c>
      <c r="C95" s="1"/>
      <c r="D95" s="1"/>
      <c r="E95" s="1"/>
      <c r="F95" s="1"/>
      <c r="G95" s="1"/>
      <c r="H95" s="1"/>
      <c r="I95" s="1"/>
      <c r="K95" s="70"/>
      <c r="L95" s="39" t="s">
        <v>130</v>
      </c>
      <c r="N95" s="70"/>
      <c r="O95" s="39" t="s">
        <v>131</v>
      </c>
      <c r="Z95" s="2"/>
      <c r="AD95" s="2" t="s">
        <v>152</v>
      </c>
      <c r="AE95" s="70"/>
      <c r="AF95" s="39" t="s">
        <v>130</v>
      </c>
      <c r="AG95" s="44"/>
      <c r="AH95" s="70"/>
      <c r="AI95" s="44" t="s">
        <v>153</v>
      </c>
      <c r="AL95" s="126">
        <f>IF(AND(ISBLANK(AE95),ISBLANK(AH95)),1,2)</f>
        <v>1</v>
      </c>
      <c r="AM95" s="121">
        <f>SUM(AM97,AM98,AM100,AO97,AO98,AO100)</f>
        <v>0</v>
      </c>
      <c r="AN95" s="63" t="s">
        <v>225</v>
      </c>
      <c r="AO95" s="121">
        <f>IF(AND(ISBLANK(K95),ISBLANK(N95)),1,2)</f>
        <v>1</v>
      </c>
      <c r="AP95" s="23"/>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5"/>
      <c r="BR95" s="95"/>
      <c r="BS95" s="95"/>
      <c r="BT95" s="95"/>
      <c r="BU95" s="95"/>
      <c r="BV95" s="95"/>
      <c r="BW95" s="95"/>
      <c r="BX95" s="95"/>
      <c r="BY95" s="95"/>
      <c r="BZ95" s="95"/>
      <c r="CA95" s="95"/>
      <c r="CB95" s="95"/>
      <c r="CC95" s="95"/>
      <c r="CD95" s="95"/>
    </row>
    <row r="96" spans="2:83" ht="4.95" customHeight="1" x14ac:dyDescent="0.3">
      <c r="B96" s="1"/>
      <c r="C96" s="1"/>
      <c r="D96" s="1"/>
      <c r="E96" s="1"/>
      <c r="F96" s="1"/>
      <c r="G96" s="1"/>
      <c r="H96" s="1"/>
      <c r="I96" s="1"/>
      <c r="K96" s="4"/>
      <c r="N96" s="4"/>
      <c r="AJ96" s="44"/>
      <c r="AL96" s="89"/>
      <c r="AN96" s="86"/>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95"/>
      <c r="BR96" s="95"/>
      <c r="BS96" s="95"/>
      <c r="BT96" s="95"/>
      <c r="BU96" s="95"/>
      <c r="BV96" s="95"/>
      <c r="BW96" s="95"/>
      <c r="BX96" s="95"/>
      <c r="BY96" s="95"/>
      <c r="BZ96" s="95"/>
      <c r="CA96" s="95"/>
      <c r="CB96" s="95"/>
      <c r="CC96" s="95"/>
      <c r="CD96" s="95"/>
    </row>
    <row r="97" spans="2:82" ht="14.55" customHeight="1" x14ac:dyDescent="0.3">
      <c r="E97" s="2" t="s">
        <v>172</v>
      </c>
      <c r="F97" s="164"/>
      <c r="G97" s="164"/>
      <c r="H97" s="164"/>
      <c r="I97" s="164"/>
      <c r="N97" s="2" t="s">
        <v>173</v>
      </c>
      <c r="O97" s="164"/>
      <c r="P97" s="164"/>
      <c r="Q97" s="164"/>
      <c r="AI97" s="44"/>
      <c r="AJ97" s="44"/>
      <c r="AL97" s="86" t="s">
        <v>24</v>
      </c>
      <c r="AM97" s="121">
        <f>IF(ISBLANK(F97),0,1)</f>
        <v>0</v>
      </c>
      <c r="AN97" s="86" t="s">
        <v>34</v>
      </c>
      <c r="AO97" s="121">
        <f>IF(ISBLANK(O97),0,1)</f>
        <v>0</v>
      </c>
      <c r="AP97" s="23"/>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5"/>
      <c r="BR97" s="95"/>
      <c r="BS97" s="95"/>
      <c r="BT97" s="95"/>
      <c r="BU97" s="95"/>
      <c r="BV97" s="95"/>
      <c r="BW97" s="95"/>
      <c r="BX97" s="95"/>
      <c r="BY97" s="95"/>
      <c r="BZ97" s="95"/>
      <c r="CA97" s="95"/>
      <c r="CB97" s="95"/>
      <c r="CC97" s="95"/>
      <c r="CD97" s="95"/>
    </row>
    <row r="98" spans="2:82" ht="14.55" customHeight="1" x14ac:dyDescent="0.3">
      <c r="E98" s="2" t="s">
        <v>170</v>
      </c>
      <c r="F98" s="173"/>
      <c r="G98" s="173"/>
      <c r="H98" s="173"/>
      <c r="I98" s="173"/>
      <c r="J98" s="39" t="s">
        <v>45</v>
      </c>
      <c r="N98" s="2" t="s">
        <v>174</v>
      </c>
      <c r="O98" s="173"/>
      <c r="P98" s="173"/>
      <c r="Q98" s="173"/>
      <c r="R98" s="39" t="s">
        <v>45</v>
      </c>
      <c r="V98" s="2" t="s">
        <v>189</v>
      </c>
      <c r="W98" s="172"/>
      <c r="X98" s="172"/>
      <c r="Y98" s="172"/>
      <c r="Z98" s="39" t="s">
        <v>45</v>
      </c>
      <c r="AE98" s="2" t="s">
        <v>122</v>
      </c>
      <c r="AF98" s="172"/>
      <c r="AG98" s="172"/>
      <c r="AH98" s="172"/>
      <c r="AI98" s="39" t="s">
        <v>45</v>
      </c>
      <c r="AL98" s="86" t="s">
        <v>55</v>
      </c>
      <c r="AM98" s="121">
        <f>IF(ISBLANK(F98),0,1)</f>
        <v>0</v>
      </c>
      <c r="AN98" s="86" t="s">
        <v>81</v>
      </c>
      <c r="AO98" s="121">
        <f>IF(ISBLANK(O98),0,1)</f>
        <v>0</v>
      </c>
      <c r="AP98" s="23"/>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5"/>
      <c r="BR98" s="95"/>
      <c r="BS98" s="95"/>
      <c r="BT98" s="95"/>
      <c r="BU98" s="95"/>
      <c r="BV98" s="95"/>
      <c r="BW98" s="95"/>
      <c r="BX98" s="95"/>
      <c r="BY98" s="95"/>
      <c r="BZ98" s="95"/>
      <c r="CA98" s="95"/>
      <c r="CB98" s="95"/>
      <c r="CC98" s="95"/>
      <c r="CD98" s="95"/>
    </row>
    <row r="99" spans="2:82" ht="4.95" customHeight="1" x14ac:dyDescent="0.3">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L99" s="86"/>
      <c r="AS99" s="95"/>
      <c r="AT99" s="95"/>
      <c r="AU99" s="95"/>
      <c r="AV99" s="95"/>
      <c r="AW99" s="95"/>
      <c r="AX99" s="95"/>
      <c r="AY99" s="95"/>
      <c r="AZ99" s="95"/>
      <c r="BA99" s="95"/>
      <c r="BB99" s="95"/>
      <c r="BC99" s="95"/>
      <c r="BD99" s="95"/>
      <c r="BE99" s="95"/>
      <c r="BF99" s="95"/>
      <c r="BG99" s="95"/>
      <c r="BH99" s="95"/>
      <c r="BI99" s="95"/>
      <c r="BJ99" s="95"/>
      <c r="BK99" s="95"/>
      <c r="BL99" s="95"/>
      <c r="BM99" s="95"/>
      <c r="BN99" s="95"/>
      <c r="BO99" s="95"/>
      <c r="BP99" s="95"/>
      <c r="BQ99" s="95"/>
      <c r="BR99" s="95"/>
      <c r="BS99" s="95"/>
      <c r="BT99" s="95"/>
      <c r="BU99" s="95"/>
      <c r="BV99" s="95"/>
      <c r="BW99" s="95"/>
      <c r="BX99" s="95"/>
      <c r="BY99" s="95"/>
      <c r="BZ99" s="95"/>
      <c r="CA99" s="95"/>
      <c r="CB99" s="95"/>
      <c r="CC99" s="95"/>
      <c r="CD99" s="95"/>
    </row>
    <row r="100" spans="2:82" ht="15" customHeight="1" x14ac:dyDescent="0.3">
      <c r="B100" s="1" t="s">
        <v>255</v>
      </c>
      <c r="C100" s="1"/>
      <c r="D100" s="1"/>
      <c r="E100" s="1"/>
      <c r="F100" s="1"/>
      <c r="G100" s="1"/>
      <c r="H100" s="1"/>
      <c r="I100" s="1"/>
      <c r="AL100" s="86" t="s">
        <v>82</v>
      </c>
      <c r="AM100" s="121">
        <f>IF(ISBLANK(W98),0,1)</f>
        <v>0</v>
      </c>
      <c r="AN100" s="86" t="s">
        <v>83</v>
      </c>
      <c r="AO100" s="121">
        <f>IF(ISBLANK(AF98),0,1)</f>
        <v>0</v>
      </c>
      <c r="AP100" s="23"/>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row>
    <row r="101" spans="2:82" ht="15" customHeight="1" x14ac:dyDescent="0.3">
      <c r="C101" s="167" t="s">
        <v>17</v>
      </c>
      <c r="D101" s="167"/>
      <c r="E101" s="167"/>
      <c r="F101" s="4"/>
      <c r="G101" s="4"/>
      <c r="H101" s="4"/>
      <c r="I101" s="4" t="s">
        <v>18</v>
      </c>
      <c r="K101" s="4"/>
      <c r="L101" s="4"/>
      <c r="M101" s="39" t="s">
        <v>52</v>
      </c>
      <c r="T101" s="4" t="s">
        <v>17</v>
      </c>
      <c r="V101" s="4"/>
      <c r="W101" s="4"/>
      <c r="Y101" s="4" t="s">
        <v>18</v>
      </c>
      <c r="Z101" s="4"/>
      <c r="AB101" s="39" t="s">
        <v>52</v>
      </c>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row>
    <row r="102" spans="2:82" ht="14.55" customHeight="1" x14ac:dyDescent="0.3">
      <c r="C102" s="172"/>
      <c r="D102" s="172"/>
      <c r="E102" s="172"/>
      <c r="F102" s="39" t="s">
        <v>45</v>
      </c>
      <c r="H102" s="185"/>
      <c r="I102" s="185"/>
      <c r="J102" s="185"/>
      <c r="K102" s="39" t="s">
        <v>41</v>
      </c>
      <c r="M102" s="185"/>
      <c r="N102" s="185"/>
      <c r="O102" s="185"/>
      <c r="P102" s="185"/>
      <c r="Q102" s="39" t="s">
        <v>39</v>
      </c>
      <c r="S102" s="172"/>
      <c r="T102" s="172"/>
      <c r="U102" s="172"/>
      <c r="V102" s="39" t="s">
        <v>45</v>
      </c>
      <c r="W102" s="41"/>
      <c r="X102" s="185"/>
      <c r="Y102" s="185"/>
      <c r="Z102" s="185"/>
      <c r="AA102" s="39" t="s">
        <v>41</v>
      </c>
      <c r="AC102" s="185"/>
      <c r="AD102" s="185"/>
      <c r="AE102" s="185"/>
      <c r="AF102" s="185"/>
      <c r="AG102" s="39" t="s">
        <v>39</v>
      </c>
      <c r="AL102" s="121">
        <f t="shared" ref="AL102:AL111" si="5">IF(ISBLANK(C102),1,2)</f>
        <v>1</v>
      </c>
      <c r="AM102" s="121">
        <f t="shared" ref="AM102:AM111" si="6">IF(ISBLANK(S102),1,2)</f>
        <v>1</v>
      </c>
      <c r="AN102" s="121">
        <f>IF(ISBLANK(H102),1,2)</f>
        <v>1</v>
      </c>
      <c r="AO102" s="121">
        <f>IF(ISBLANK(M102),1,2)</f>
        <v>1</v>
      </c>
      <c r="AP102" s="23"/>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5"/>
      <c r="BR102" s="95"/>
      <c r="BS102" s="95"/>
      <c r="BT102" s="95"/>
      <c r="BU102" s="95"/>
      <c r="BV102" s="95"/>
      <c r="BW102" s="95"/>
      <c r="BX102" s="95"/>
      <c r="BY102" s="95"/>
      <c r="BZ102" s="95"/>
      <c r="CA102" s="95"/>
      <c r="CB102" s="95"/>
      <c r="CC102" s="95"/>
      <c r="CD102" s="95"/>
    </row>
    <row r="103" spans="2:82" ht="14.55" customHeight="1" x14ac:dyDescent="0.3">
      <c r="C103" s="173"/>
      <c r="D103" s="173"/>
      <c r="E103" s="173"/>
      <c r="F103" s="39" t="s">
        <v>45</v>
      </c>
      <c r="H103" s="184"/>
      <c r="I103" s="184"/>
      <c r="J103" s="184"/>
      <c r="K103" s="39" t="s">
        <v>41</v>
      </c>
      <c r="M103" s="184"/>
      <c r="N103" s="184"/>
      <c r="O103" s="184"/>
      <c r="P103" s="184"/>
      <c r="Q103" s="39" t="s">
        <v>39</v>
      </c>
      <c r="S103" s="173"/>
      <c r="T103" s="173"/>
      <c r="U103" s="173"/>
      <c r="V103" s="39" t="s">
        <v>45</v>
      </c>
      <c r="W103" s="41"/>
      <c r="X103" s="184"/>
      <c r="Y103" s="184"/>
      <c r="Z103" s="184"/>
      <c r="AA103" s="39" t="s">
        <v>41</v>
      </c>
      <c r="AC103" s="184"/>
      <c r="AD103" s="184"/>
      <c r="AE103" s="184"/>
      <c r="AF103" s="184"/>
      <c r="AG103" s="39" t="s">
        <v>39</v>
      </c>
      <c r="AL103" s="121">
        <f t="shared" si="5"/>
        <v>1</v>
      </c>
      <c r="AM103" s="121">
        <f t="shared" si="6"/>
        <v>1</v>
      </c>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95"/>
      <c r="BV103" s="95"/>
      <c r="BW103" s="95"/>
      <c r="BX103" s="95"/>
      <c r="BY103" s="95"/>
      <c r="BZ103" s="95"/>
      <c r="CA103" s="95"/>
      <c r="CB103" s="95"/>
      <c r="CC103" s="95"/>
      <c r="CD103" s="95"/>
    </row>
    <row r="104" spans="2:82" ht="14.55" customHeight="1" x14ac:dyDescent="0.3">
      <c r="C104" s="173"/>
      <c r="D104" s="173"/>
      <c r="E104" s="173"/>
      <c r="F104" s="39" t="s">
        <v>45</v>
      </c>
      <c r="H104" s="184"/>
      <c r="I104" s="184"/>
      <c r="J104" s="184"/>
      <c r="K104" s="39" t="s">
        <v>41</v>
      </c>
      <c r="M104" s="184"/>
      <c r="N104" s="184"/>
      <c r="O104" s="184"/>
      <c r="P104" s="184"/>
      <c r="Q104" s="39" t="s">
        <v>39</v>
      </c>
      <c r="S104" s="173"/>
      <c r="T104" s="173"/>
      <c r="U104" s="173"/>
      <c r="V104" s="39" t="s">
        <v>45</v>
      </c>
      <c r="W104" s="41"/>
      <c r="X104" s="184"/>
      <c r="Y104" s="184"/>
      <c r="Z104" s="184"/>
      <c r="AA104" s="39" t="s">
        <v>41</v>
      </c>
      <c r="AC104" s="184"/>
      <c r="AD104" s="184"/>
      <c r="AE104" s="184"/>
      <c r="AF104" s="184"/>
      <c r="AG104" s="39" t="s">
        <v>39</v>
      </c>
      <c r="AL104" s="121">
        <f t="shared" si="5"/>
        <v>1</v>
      </c>
      <c r="AM104" s="121">
        <f t="shared" si="6"/>
        <v>1</v>
      </c>
      <c r="AS104" s="95"/>
      <c r="AT104" s="95"/>
      <c r="AU104" s="95"/>
      <c r="AV104" s="95"/>
      <c r="AW104" s="95"/>
      <c r="AX104" s="95"/>
      <c r="AY104" s="95"/>
      <c r="AZ104" s="95"/>
      <c r="BA104" s="95"/>
      <c r="BB104" s="95"/>
      <c r="BC104" s="95"/>
      <c r="BD104" s="95"/>
      <c r="BE104" s="95"/>
      <c r="BF104" s="95"/>
      <c r="BG104" s="95"/>
      <c r="BH104" s="95"/>
      <c r="BI104" s="95"/>
      <c r="BJ104" s="95"/>
      <c r="BK104" s="95"/>
      <c r="BL104" s="95"/>
      <c r="BM104" s="95"/>
      <c r="BN104" s="95"/>
      <c r="BO104" s="95"/>
      <c r="BP104" s="95"/>
      <c r="BQ104" s="95"/>
      <c r="BR104" s="95"/>
      <c r="BS104" s="95"/>
      <c r="BT104" s="95"/>
      <c r="BU104" s="95"/>
      <c r="BV104" s="95"/>
      <c r="BW104" s="95"/>
      <c r="BX104" s="95"/>
      <c r="BY104" s="95"/>
      <c r="BZ104" s="95"/>
      <c r="CA104" s="95"/>
      <c r="CB104" s="95"/>
      <c r="CC104" s="95"/>
      <c r="CD104" s="95"/>
    </row>
    <row r="105" spans="2:82" ht="14.55" customHeight="1" x14ac:dyDescent="0.3">
      <c r="C105" s="173"/>
      <c r="D105" s="173"/>
      <c r="E105" s="173"/>
      <c r="F105" s="39" t="s">
        <v>45</v>
      </c>
      <c r="H105" s="184"/>
      <c r="I105" s="184"/>
      <c r="J105" s="184"/>
      <c r="K105" s="39" t="s">
        <v>41</v>
      </c>
      <c r="M105" s="184"/>
      <c r="N105" s="184"/>
      <c r="O105" s="184"/>
      <c r="P105" s="184"/>
      <c r="Q105" s="39" t="s">
        <v>39</v>
      </c>
      <c r="S105" s="173"/>
      <c r="T105" s="173"/>
      <c r="U105" s="173"/>
      <c r="V105" s="39" t="s">
        <v>45</v>
      </c>
      <c r="W105" s="41"/>
      <c r="X105" s="184"/>
      <c r="Y105" s="184"/>
      <c r="Z105" s="184"/>
      <c r="AA105" s="39" t="s">
        <v>41</v>
      </c>
      <c r="AC105" s="184"/>
      <c r="AD105" s="184"/>
      <c r="AE105" s="184"/>
      <c r="AF105" s="184"/>
      <c r="AG105" s="39" t="s">
        <v>39</v>
      </c>
      <c r="AL105" s="121">
        <f t="shared" si="5"/>
        <v>1</v>
      </c>
      <c r="AM105" s="121">
        <f t="shared" si="6"/>
        <v>1</v>
      </c>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5"/>
      <c r="BU105" s="95"/>
      <c r="BV105" s="95"/>
      <c r="BW105" s="95"/>
      <c r="BX105" s="95"/>
      <c r="BY105" s="95"/>
      <c r="BZ105" s="95"/>
      <c r="CA105" s="95"/>
      <c r="CB105" s="95"/>
      <c r="CC105" s="95"/>
      <c r="CD105" s="95"/>
    </row>
    <row r="106" spans="2:82" ht="14.55" customHeight="1" x14ac:dyDescent="0.3">
      <c r="C106" s="173"/>
      <c r="D106" s="173"/>
      <c r="E106" s="173"/>
      <c r="F106" s="39" t="s">
        <v>45</v>
      </c>
      <c r="H106" s="184"/>
      <c r="I106" s="184"/>
      <c r="J106" s="184"/>
      <c r="K106" s="39" t="s">
        <v>41</v>
      </c>
      <c r="M106" s="184"/>
      <c r="N106" s="184"/>
      <c r="O106" s="184"/>
      <c r="P106" s="184"/>
      <c r="Q106" s="39" t="s">
        <v>39</v>
      </c>
      <c r="S106" s="173"/>
      <c r="T106" s="173"/>
      <c r="U106" s="173"/>
      <c r="V106" s="39" t="s">
        <v>45</v>
      </c>
      <c r="W106" s="41"/>
      <c r="X106" s="184"/>
      <c r="Y106" s="184"/>
      <c r="Z106" s="184"/>
      <c r="AA106" s="39" t="s">
        <v>41</v>
      </c>
      <c r="AC106" s="184"/>
      <c r="AD106" s="184"/>
      <c r="AE106" s="184"/>
      <c r="AF106" s="184"/>
      <c r="AG106" s="39" t="s">
        <v>39</v>
      </c>
      <c r="AL106" s="121">
        <f t="shared" si="5"/>
        <v>1</v>
      </c>
      <c r="AM106" s="121">
        <f t="shared" si="6"/>
        <v>1</v>
      </c>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95"/>
      <c r="BO106" s="95"/>
      <c r="BP106" s="95"/>
      <c r="BQ106" s="95"/>
      <c r="BR106" s="95"/>
      <c r="BS106" s="95"/>
      <c r="BT106" s="95"/>
      <c r="BU106" s="95"/>
      <c r="BV106" s="95"/>
      <c r="BW106" s="95"/>
      <c r="BX106" s="95"/>
      <c r="BY106" s="95"/>
      <c r="BZ106" s="95"/>
      <c r="CA106" s="95"/>
      <c r="CB106" s="95"/>
      <c r="CC106" s="95"/>
      <c r="CD106" s="95"/>
    </row>
    <row r="107" spans="2:82" ht="14.55" customHeight="1" x14ac:dyDescent="0.3">
      <c r="C107" s="173"/>
      <c r="D107" s="173"/>
      <c r="E107" s="173"/>
      <c r="F107" s="39" t="s">
        <v>45</v>
      </c>
      <c r="H107" s="184"/>
      <c r="I107" s="184"/>
      <c r="J107" s="184"/>
      <c r="K107" s="39" t="s">
        <v>41</v>
      </c>
      <c r="M107" s="184"/>
      <c r="N107" s="184"/>
      <c r="O107" s="184"/>
      <c r="P107" s="184"/>
      <c r="Q107" s="39" t="s">
        <v>39</v>
      </c>
      <c r="S107" s="173"/>
      <c r="T107" s="173"/>
      <c r="U107" s="173"/>
      <c r="V107" s="39" t="s">
        <v>45</v>
      </c>
      <c r="W107" s="41"/>
      <c r="X107" s="184"/>
      <c r="Y107" s="184"/>
      <c r="Z107" s="184"/>
      <c r="AA107" s="39" t="s">
        <v>41</v>
      </c>
      <c r="AC107" s="184"/>
      <c r="AD107" s="184"/>
      <c r="AE107" s="184"/>
      <c r="AF107" s="184"/>
      <c r="AG107" s="39" t="s">
        <v>39</v>
      </c>
      <c r="AL107" s="121">
        <f t="shared" si="5"/>
        <v>1</v>
      </c>
      <c r="AM107" s="121">
        <f t="shared" si="6"/>
        <v>1</v>
      </c>
      <c r="AS107" s="95"/>
      <c r="AT107" s="95"/>
      <c r="AU107" s="95"/>
      <c r="AV107" s="95"/>
      <c r="AW107" s="95"/>
      <c r="AX107" s="95"/>
      <c r="AY107" s="95"/>
      <c r="AZ107" s="95"/>
      <c r="BA107" s="95"/>
      <c r="BB107" s="95"/>
      <c r="BC107" s="95"/>
      <c r="BD107" s="95"/>
      <c r="BE107" s="95"/>
      <c r="BF107" s="95"/>
      <c r="BG107" s="95"/>
      <c r="BH107" s="95"/>
      <c r="BI107" s="95"/>
      <c r="BJ107" s="95"/>
      <c r="BK107" s="95"/>
      <c r="BL107" s="95"/>
      <c r="BM107" s="95"/>
      <c r="BN107" s="95"/>
      <c r="BO107" s="95"/>
      <c r="BP107" s="95"/>
      <c r="BQ107" s="95"/>
      <c r="BR107" s="95"/>
      <c r="BS107" s="95"/>
      <c r="BT107" s="95"/>
      <c r="BU107" s="95"/>
      <c r="BV107" s="95"/>
      <c r="BW107" s="95"/>
      <c r="BX107" s="95"/>
      <c r="BY107" s="95"/>
      <c r="BZ107" s="95"/>
      <c r="CA107" s="95"/>
      <c r="CB107" s="95"/>
      <c r="CC107" s="95"/>
      <c r="CD107" s="95"/>
    </row>
    <row r="108" spans="2:82" ht="14.55" customHeight="1" x14ac:dyDescent="0.3">
      <c r="C108" s="173"/>
      <c r="D108" s="173"/>
      <c r="E108" s="173"/>
      <c r="F108" s="39" t="s">
        <v>45</v>
      </c>
      <c r="H108" s="184"/>
      <c r="I108" s="184"/>
      <c r="J108" s="184"/>
      <c r="K108" s="39" t="s">
        <v>41</v>
      </c>
      <c r="M108" s="184"/>
      <c r="N108" s="184"/>
      <c r="O108" s="184"/>
      <c r="P108" s="184"/>
      <c r="Q108" s="39" t="s">
        <v>39</v>
      </c>
      <c r="S108" s="173"/>
      <c r="T108" s="173"/>
      <c r="U108" s="173"/>
      <c r="V108" s="39" t="s">
        <v>45</v>
      </c>
      <c r="W108" s="41"/>
      <c r="X108" s="184"/>
      <c r="Y108" s="184"/>
      <c r="Z108" s="184"/>
      <c r="AA108" s="39" t="s">
        <v>41</v>
      </c>
      <c r="AC108" s="184"/>
      <c r="AD108" s="184"/>
      <c r="AE108" s="184"/>
      <c r="AF108" s="184"/>
      <c r="AG108" s="39" t="s">
        <v>39</v>
      </c>
      <c r="AL108" s="121">
        <f t="shared" si="5"/>
        <v>1</v>
      </c>
      <c r="AM108" s="121">
        <f t="shared" si="6"/>
        <v>1</v>
      </c>
      <c r="AS108" s="95"/>
      <c r="AT108" s="95"/>
      <c r="AU108" s="95"/>
      <c r="AV108" s="95"/>
      <c r="AW108" s="95"/>
      <c r="AX108" s="95"/>
      <c r="AY108" s="95"/>
      <c r="AZ108" s="95"/>
      <c r="BA108" s="95"/>
      <c r="BB108" s="95"/>
      <c r="BC108" s="95"/>
      <c r="BD108" s="95"/>
      <c r="BE108" s="95"/>
      <c r="BF108" s="95"/>
      <c r="BG108" s="95"/>
      <c r="BH108" s="95"/>
      <c r="BI108" s="95"/>
      <c r="BJ108" s="95"/>
      <c r="BK108" s="95"/>
      <c r="BL108" s="95"/>
      <c r="BM108" s="95"/>
      <c r="BN108" s="95"/>
      <c r="BO108" s="95"/>
      <c r="BP108" s="95"/>
      <c r="BQ108" s="95"/>
      <c r="BR108" s="95"/>
      <c r="BS108" s="95"/>
      <c r="BT108" s="95"/>
      <c r="BU108" s="95"/>
      <c r="BV108" s="95"/>
      <c r="BW108" s="95"/>
      <c r="BX108" s="95"/>
      <c r="BY108" s="95"/>
      <c r="BZ108" s="95"/>
      <c r="CA108" s="95"/>
      <c r="CB108" s="95"/>
      <c r="CC108" s="95"/>
      <c r="CD108" s="95"/>
    </row>
    <row r="109" spans="2:82" ht="14.55" customHeight="1" x14ac:dyDescent="0.3">
      <c r="C109" s="173"/>
      <c r="D109" s="173"/>
      <c r="E109" s="173"/>
      <c r="F109" s="39" t="s">
        <v>45</v>
      </c>
      <c r="H109" s="184"/>
      <c r="I109" s="184"/>
      <c r="J109" s="184"/>
      <c r="K109" s="39" t="s">
        <v>41</v>
      </c>
      <c r="M109" s="184"/>
      <c r="N109" s="184"/>
      <c r="O109" s="184"/>
      <c r="P109" s="184"/>
      <c r="Q109" s="39" t="s">
        <v>39</v>
      </c>
      <c r="S109" s="173"/>
      <c r="T109" s="173"/>
      <c r="U109" s="173"/>
      <c r="V109" s="39" t="s">
        <v>45</v>
      </c>
      <c r="W109" s="41"/>
      <c r="X109" s="184"/>
      <c r="Y109" s="184"/>
      <c r="Z109" s="184"/>
      <c r="AA109" s="39" t="s">
        <v>41</v>
      </c>
      <c r="AC109" s="184"/>
      <c r="AD109" s="184"/>
      <c r="AE109" s="184"/>
      <c r="AF109" s="184"/>
      <c r="AG109" s="39" t="s">
        <v>39</v>
      </c>
      <c r="AL109" s="121">
        <f t="shared" si="5"/>
        <v>1</v>
      </c>
      <c r="AM109" s="121">
        <f t="shared" si="6"/>
        <v>1</v>
      </c>
      <c r="AS109" s="95"/>
      <c r="AT109" s="95"/>
      <c r="AU109" s="95"/>
      <c r="AV109" s="95"/>
      <c r="AW109" s="95"/>
      <c r="AX109" s="95"/>
      <c r="AY109" s="95"/>
      <c r="AZ109" s="95"/>
      <c r="BA109" s="95"/>
      <c r="BB109" s="95"/>
      <c r="BC109" s="95"/>
      <c r="BD109" s="95"/>
      <c r="BE109" s="95"/>
      <c r="BF109" s="95"/>
      <c r="BG109" s="95"/>
      <c r="BH109" s="95"/>
      <c r="BI109" s="95"/>
      <c r="BJ109" s="95"/>
      <c r="BK109" s="95"/>
      <c r="BL109" s="95"/>
      <c r="BM109" s="95"/>
      <c r="BN109" s="95"/>
      <c r="BO109" s="95"/>
      <c r="BP109" s="95"/>
      <c r="BQ109" s="95"/>
      <c r="BR109" s="95"/>
      <c r="BS109" s="95"/>
      <c r="BT109" s="95"/>
      <c r="BU109" s="95"/>
      <c r="BV109" s="95"/>
      <c r="BW109" s="95"/>
      <c r="BX109" s="95"/>
      <c r="BY109" s="95"/>
      <c r="BZ109" s="95"/>
      <c r="CA109" s="95"/>
      <c r="CB109" s="95"/>
      <c r="CC109" s="95"/>
      <c r="CD109" s="95"/>
    </row>
    <row r="110" spans="2:82" ht="14.55" customHeight="1" x14ac:dyDescent="0.3">
      <c r="C110" s="173"/>
      <c r="D110" s="173"/>
      <c r="E110" s="173"/>
      <c r="F110" s="39" t="s">
        <v>45</v>
      </c>
      <c r="H110" s="184"/>
      <c r="I110" s="184"/>
      <c r="J110" s="184"/>
      <c r="K110" s="39" t="s">
        <v>41</v>
      </c>
      <c r="M110" s="184"/>
      <c r="N110" s="184"/>
      <c r="O110" s="184"/>
      <c r="P110" s="184"/>
      <c r="Q110" s="39" t="s">
        <v>39</v>
      </c>
      <c r="S110" s="173"/>
      <c r="T110" s="173"/>
      <c r="U110" s="173"/>
      <c r="V110" s="39" t="s">
        <v>45</v>
      </c>
      <c r="W110" s="41"/>
      <c r="X110" s="184"/>
      <c r="Y110" s="184"/>
      <c r="Z110" s="184"/>
      <c r="AA110" s="39" t="s">
        <v>41</v>
      </c>
      <c r="AC110" s="184"/>
      <c r="AD110" s="184"/>
      <c r="AE110" s="184"/>
      <c r="AF110" s="184"/>
      <c r="AG110" s="39" t="s">
        <v>39</v>
      </c>
      <c r="AL110" s="121">
        <f t="shared" si="5"/>
        <v>1</v>
      </c>
      <c r="AM110" s="121">
        <f t="shared" si="6"/>
        <v>1</v>
      </c>
      <c r="AS110" s="95"/>
      <c r="AT110" s="95"/>
      <c r="AU110" s="95"/>
      <c r="AV110" s="95"/>
      <c r="AW110" s="95"/>
      <c r="AX110" s="95"/>
      <c r="AY110" s="95"/>
      <c r="AZ110" s="95"/>
      <c r="BA110" s="95"/>
      <c r="BB110" s="95"/>
      <c r="BC110" s="95"/>
      <c r="BD110" s="95"/>
      <c r="BE110" s="95"/>
      <c r="BF110" s="95"/>
      <c r="BG110" s="95"/>
      <c r="BH110" s="95"/>
      <c r="BI110" s="95"/>
      <c r="BJ110" s="95"/>
      <c r="BK110" s="95"/>
      <c r="BL110" s="95"/>
      <c r="BM110" s="95"/>
      <c r="BN110" s="95"/>
      <c r="BO110" s="95"/>
      <c r="BP110" s="95"/>
      <c r="BQ110" s="95"/>
      <c r="BR110" s="95"/>
      <c r="BS110" s="95"/>
      <c r="BT110" s="95"/>
      <c r="BU110" s="95"/>
      <c r="BV110" s="95"/>
      <c r="BW110" s="95"/>
      <c r="BX110" s="95"/>
      <c r="BY110" s="95"/>
      <c r="BZ110" s="95"/>
      <c r="CA110" s="95"/>
      <c r="CB110" s="95"/>
      <c r="CC110" s="95"/>
      <c r="CD110" s="95"/>
    </row>
    <row r="111" spans="2:82" ht="14.55" customHeight="1" x14ac:dyDescent="0.3">
      <c r="C111" s="173"/>
      <c r="D111" s="173"/>
      <c r="E111" s="173"/>
      <c r="F111" s="39" t="s">
        <v>45</v>
      </c>
      <c r="H111" s="184"/>
      <c r="I111" s="184"/>
      <c r="J111" s="184"/>
      <c r="K111" s="39" t="s">
        <v>41</v>
      </c>
      <c r="M111" s="184"/>
      <c r="N111" s="184"/>
      <c r="O111" s="184"/>
      <c r="P111" s="184"/>
      <c r="Q111" s="39" t="s">
        <v>39</v>
      </c>
      <c r="S111" s="173"/>
      <c r="T111" s="173"/>
      <c r="U111" s="173"/>
      <c r="V111" s="39" t="s">
        <v>45</v>
      </c>
      <c r="W111" s="41"/>
      <c r="X111" s="184"/>
      <c r="Y111" s="184"/>
      <c r="Z111" s="184"/>
      <c r="AA111" s="39" t="s">
        <v>41</v>
      </c>
      <c r="AC111" s="184"/>
      <c r="AD111" s="184"/>
      <c r="AE111" s="184"/>
      <c r="AF111" s="184"/>
      <c r="AG111" s="39" t="s">
        <v>39</v>
      </c>
      <c r="AL111" s="121">
        <f t="shared" si="5"/>
        <v>1</v>
      </c>
      <c r="AM111" s="121">
        <f t="shared" si="6"/>
        <v>1</v>
      </c>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c r="BQ111" s="95"/>
      <c r="BR111" s="95"/>
      <c r="BS111" s="95"/>
      <c r="BT111" s="95"/>
      <c r="BU111" s="95"/>
      <c r="BV111" s="95"/>
      <c r="BW111" s="95"/>
      <c r="BX111" s="95"/>
      <c r="BY111" s="95"/>
      <c r="BZ111" s="95"/>
      <c r="CA111" s="95"/>
      <c r="CB111" s="95"/>
      <c r="CC111" s="95"/>
      <c r="CD111" s="95"/>
    </row>
    <row r="112" spans="2:82" ht="14.55" customHeight="1" x14ac:dyDescent="0.3">
      <c r="G112" s="40" t="s">
        <v>53</v>
      </c>
      <c r="H112" s="183">
        <f>$W$27</f>
        <v>0</v>
      </c>
      <c r="I112" s="183"/>
      <c r="J112" s="183"/>
      <c r="K112" s="39" t="s">
        <v>39</v>
      </c>
      <c r="O112" s="90"/>
      <c r="P112" s="48"/>
      <c r="R112" s="40" t="s">
        <v>54</v>
      </c>
      <c r="S112" s="184"/>
      <c r="T112" s="184"/>
      <c r="U112" s="184"/>
      <c r="V112" s="39" t="s">
        <v>39</v>
      </c>
      <c r="AB112" s="48" t="s">
        <v>357</v>
      </c>
      <c r="AC112" s="179"/>
      <c r="AD112" s="179"/>
      <c r="AE112" s="179"/>
      <c r="AF112" s="179"/>
      <c r="AG112" s="39" t="s">
        <v>45</v>
      </c>
      <c r="AL112" s="86" t="s">
        <v>159</v>
      </c>
      <c r="AM112" s="121">
        <f>IF(OR(S112=H112,S112&gt;H112),1,2)</f>
        <v>1</v>
      </c>
      <c r="AS112" s="95"/>
      <c r="AT112" s="95"/>
      <c r="AU112" s="95"/>
      <c r="AV112" s="95"/>
      <c r="AW112" s="95"/>
      <c r="AX112" s="95"/>
      <c r="AY112" s="95"/>
      <c r="AZ112" s="95"/>
      <c r="BA112" s="95"/>
      <c r="BB112" s="95"/>
      <c r="BC112" s="95"/>
      <c r="BD112" s="95"/>
      <c r="BE112" s="95"/>
      <c r="BF112" s="95"/>
      <c r="BG112" s="95"/>
      <c r="BH112" s="95"/>
      <c r="BI112" s="95"/>
      <c r="BJ112" s="95"/>
      <c r="BK112" s="95"/>
      <c r="BL112" s="95"/>
      <c r="BM112" s="95"/>
      <c r="BN112" s="95"/>
      <c r="BO112" s="95"/>
      <c r="BP112" s="95"/>
      <c r="BQ112" s="95"/>
      <c r="BR112" s="95"/>
      <c r="BS112" s="95"/>
      <c r="BT112" s="95"/>
      <c r="BU112" s="95"/>
      <c r="BV112" s="95"/>
      <c r="BW112" s="95"/>
      <c r="BX112" s="95"/>
      <c r="BY112" s="95"/>
      <c r="BZ112" s="95"/>
      <c r="CA112" s="95"/>
      <c r="CB112" s="95"/>
      <c r="CC112" s="95"/>
      <c r="CD112" s="95"/>
    </row>
    <row r="113" spans="2:82" ht="15" customHeight="1" x14ac:dyDescent="0.3">
      <c r="AK113" s="41"/>
      <c r="AM113" s="121">
        <f>IF(OR(ISBLANK(H112),ISBLANK(S112)),2,1)</f>
        <v>2</v>
      </c>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95"/>
      <c r="BU113" s="95"/>
      <c r="BV113" s="95"/>
      <c r="BW113" s="95"/>
      <c r="BX113" s="95"/>
      <c r="BY113" s="95"/>
      <c r="BZ113" s="95"/>
      <c r="CA113" s="95"/>
      <c r="CB113" s="95"/>
      <c r="CC113" s="95"/>
      <c r="CD113" s="95"/>
    </row>
    <row r="114" spans="2:82" ht="15" customHeight="1" x14ac:dyDescent="0.3">
      <c r="B114" s="166">
        <f>Tables!$C$13</f>
        <v>45566</v>
      </c>
      <c r="C114" s="166"/>
      <c r="D114" s="166"/>
      <c r="E114" s="166"/>
      <c r="F114" s="166"/>
      <c r="G114" s="166"/>
      <c r="H114" s="166"/>
      <c r="R114" s="167" t="s">
        <v>295</v>
      </c>
      <c r="S114" s="167"/>
      <c r="T114" s="167"/>
      <c r="U114" s="167"/>
      <c r="AK114" s="41"/>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row>
    <row r="115" spans="2:82" ht="15" customHeight="1" x14ac:dyDescent="0.3">
      <c r="C115" s="2" t="s">
        <v>1</v>
      </c>
      <c r="D115" s="169">
        <f>IF(ISBLANK($E$13),0,$E$13)</f>
        <v>0</v>
      </c>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46"/>
      <c r="AD115" s="2" t="s">
        <v>21</v>
      </c>
      <c r="AE115" s="170">
        <f>IF(ISBLANK($AE$13),0,$AE$13)</f>
        <v>0</v>
      </c>
      <c r="AF115" s="170"/>
      <c r="AG115" s="170"/>
      <c r="AH115" s="170"/>
      <c r="AI115" s="170"/>
      <c r="AJ115" s="170"/>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row>
    <row r="116" spans="2:82" ht="15" customHeight="1" x14ac:dyDescent="0.3">
      <c r="C116" s="47"/>
      <c r="D116" s="47"/>
      <c r="E116" s="47"/>
      <c r="F116" s="47"/>
      <c r="G116" s="47"/>
      <c r="H116" s="47"/>
      <c r="I116" s="47"/>
      <c r="J116" s="2"/>
      <c r="K116" s="2"/>
      <c r="L116" s="2"/>
      <c r="M116" s="2"/>
      <c r="N116" s="47"/>
      <c r="O116" s="46"/>
      <c r="P116" s="46"/>
      <c r="Q116" s="46"/>
      <c r="R116" s="46"/>
      <c r="S116" s="46"/>
      <c r="T116" s="46"/>
      <c r="U116" s="46"/>
      <c r="V116" s="46"/>
      <c r="W116" s="46"/>
      <c r="X116" s="46"/>
      <c r="Y116" s="46"/>
      <c r="Z116" s="46"/>
      <c r="AD116" s="2" t="s">
        <v>35</v>
      </c>
      <c r="AE116" s="171">
        <f>IF(ISBLANK($AE$14),0,$AE$14)</f>
        <v>0</v>
      </c>
      <c r="AF116" s="171"/>
      <c r="AG116" s="171"/>
      <c r="AH116" s="171"/>
      <c r="AI116" s="171"/>
      <c r="AJ116" s="171"/>
      <c r="AL116" s="86" t="s">
        <v>156</v>
      </c>
      <c r="AM116" s="121">
        <f>SUM(AM117,AO117)</f>
        <v>0</v>
      </c>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5"/>
      <c r="BU116" s="95"/>
      <c r="BV116" s="95"/>
      <c r="BW116" s="95"/>
      <c r="BX116" s="95"/>
      <c r="BY116" s="95"/>
      <c r="BZ116" s="95"/>
      <c r="CA116" s="95"/>
      <c r="CB116" s="95"/>
      <c r="CC116" s="95"/>
      <c r="CD116" s="95"/>
    </row>
    <row r="117" spans="2:82" ht="15" customHeight="1" x14ac:dyDescent="0.3">
      <c r="B117" s="1" t="s">
        <v>15</v>
      </c>
      <c r="N117" s="42" t="s">
        <v>48</v>
      </c>
      <c r="O117" s="201"/>
      <c r="P117" s="201"/>
      <c r="Q117" s="201"/>
      <c r="R117" s="201"/>
      <c r="V117" s="2" t="s">
        <v>49</v>
      </c>
      <c r="W117" s="202"/>
      <c r="X117" s="202"/>
      <c r="Y117" s="202"/>
      <c r="Z117" s="202"/>
      <c r="AL117" s="86" t="s">
        <v>154</v>
      </c>
      <c r="AM117" s="121">
        <f>IF(ISBLANK(O117),0,1)</f>
        <v>0</v>
      </c>
      <c r="AN117" s="86" t="s">
        <v>155</v>
      </c>
      <c r="AO117" s="121">
        <f>IF(ISBLANK(W117),0,1)</f>
        <v>0</v>
      </c>
      <c r="AP117" s="23"/>
      <c r="AS117" s="95"/>
      <c r="AT117" s="95"/>
      <c r="AU117" s="95"/>
      <c r="AV117" s="95"/>
      <c r="AW117" s="95"/>
      <c r="AX117" s="95"/>
      <c r="AY117" s="95"/>
      <c r="AZ117" s="95"/>
      <c r="BA117" s="95"/>
      <c r="BB117" s="95"/>
      <c r="BC117" s="95"/>
      <c r="BD117" s="95"/>
      <c r="BE117" s="95"/>
      <c r="BF117" s="95"/>
      <c r="BG117" s="95"/>
      <c r="BH117" s="95"/>
      <c r="BI117" s="95"/>
      <c r="BJ117" s="95"/>
      <c r="BK117" s="95"/>
      <c r="BL117" s="95"/>
      <c r="BM117" s="95"/>
      <c r="BN117" s="95"/>
      <c r="BO117" s="95"/>
      <c r="BP117" s="95"/>
      <c r="BQ117" s="95"/>
      <c r="BR117" s="95"/>
      <c r="BS117" s="95"/>
      <c r="BT117" s="95"/>
      <c r="BU117" s="95"/>
      <c r="BV117" s="95"/>
      <c r="BW117" s="95"/>
      <c r="BX117" s="95"/>
      <c r="BY117" s="95"/>
      <c r="BZ117" s="95"/>
      <c r="CA117" s="95"/>
      <c r="CB117" s="95"/>
      <c r="CC117" s="95"/>
      <c r="CD117" s="95"/>
    </row>
    <row r="118" spans="2:82" ht="15" customHeight="1" x14ac:dyDescent="0.3">
      <c r="AS118" s="95"/>
      <c r="AT118" s="95"/>
      <c r="AU118" s="95"/>
      <c r="AV118" s="95"/>
      <c r="AW118" s="95"/>
      <c r="AX118" s="95"/>
      <c r="AY118" s="95"/>
      <c r="AZ118" s="95"/>
      <c r="BA118" s="95"/>
      <c r="BB118" s="95"/>
      <c r="BC118" s="95"/>
      <c r="BD118" s="95"/>
      <c r="BE118" s="95"/>
      <c r="BF118" s="95"/>
      <c r="BG118" s="95"/>
      <c r="BH118" s="95"/>
      <c r="BI118" s="95"/>
      <c r="BJ118" s="95"/>
      <c r="BK118" s="95"/>
      <c r="BL118" s="95"/>
      <c r="BM118" s="95"/>
      <c r="BN118" s="95"/>
      <c r="BO118" s="95"/>
      <c r="BP118" s="95"/>
      <c r="BQ118" s="95"/>
      <c r="BR118" s="95"/>
      <c r="BS118" s="95"/>
      <c r="BT118" s="95"/>
      <c r="BU118" s="95"/>
      <c r="BV118" s="95"/>
      <c r="BW118" s="95"/>
      <c r="BX118" s="95"/>
      <c r="BY118" s="95"/>
      <c r="BZ118" s="95"/>
      <c r="CA118" s="95"/>
      <c r="CB118" s="95"/>
      <c r="CC118" s="95"/>
      <c r="CD118" s="95"/>
    </row>
    <row r="119" spans="2:82" ht="15" customHeight="1" x14ac:dyDescent="0.3">
      <c r="Q119" s="167"/>
      <c r="R119" s="167"/>
      <c r="S119" s="167"/>
      <c r="T119" s="167"/>
      <c r="U119" s="167"/>
      <c r="V119" s="167"/>
      <c r="W119" s="167"/>
      <c r="AL119" s="13" t="s">
        <v>78</v>
      </c>
      <c r="AM119" s="13" t="s">
        <v>320</v>
      </c>
      <c r="AN119" s="13" t="s">
        <v>79</v>
      </c>
      <c r="AO119" s="23" t="s">
        <v>413</v>
      </c>
      <c r="AP119" s="23" t="s">
        <v>488</v>
      </c>
      <c r="AQ119" s="13" t="s">
        <v>79</v>
      </c>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95"/>
      <c r="BU119" s="95"/>
      <c r="BV119" s="95"/>
      <c r="BW119" s="95"/>
      <c r="BX119" s="95"/>
      <c r="BY119" s="95"/>
      <c r="BZ119" s="95"/>
      <c r="CA119" s="95"/>
      <c r="CB119" s="95"/>
      <c r="CC119" s="95"/>
      <c r="CD119" s="95"/>
    </row>
    <row r="120" spans="2:82" ht="30" customHeight="1" x14ac:dyDescent="0.3">
      <c r="B120" s="1" t="s">
        <v>222</v>
      </c>
      <c r="J120" s="1"/>
      <c r="K120" s="1"/>
      <c r="L120" s="1"/>
      <c r="M120" s="186" t="s">
        <v>65</v>
      </c>
      <c r="N120" s="186"/>
      <c r="O120" s="186"/>
      <c r="P120" s="91"/>
      <c r="Q120" s="186" t="s">
        <v>223</v>
      </c>
      <c r="R120" s="186"/>
      <c r="S120" s="186"/>
      <c r="T120" s="91"/>
      <c r="U120" s="186" t="s">
        <v>224</v>
      </c>
      <c r="V120" s="186"/>
      <c r="W120" s="186"/>
      <c r="X120" s="186" t="s">
        <v>358</v>
      </c>
      <c r="Y120" s="186"/>
      <c r="Z120" s="186"/>
      <c r="AA120" s="186"/>
      <c r="AB120" s="186"/>
      <c r="AC120" s="186" t="s">
        <v>307</v>
      </c>
      <c r="AD120" s="186"/>
      <c r="AE120" s="186"/>
      <c r="AF120" s="91"/>
      <c r="AG120" s="186" t="s">
        <v>66</v>
      </c>
      <c r="AH120" s="186"/>
      <c r="AI120" s="186"/>
      <c r="AJ120" s="186"/>
      <c r="AL120" s="121">
        <f>SUM(AL121:AL124)</f>
        <v>4</v>
      </c>
      <c r="AM120" s="121">
        <f>SUM(AM121:AM126)</f>
        <v>6</v>
      </c>
      <c r="AN120" s="121">
        <f>SUM(AN121:AN126)</f>
        <v>6</v>
      </c>
      <c r="AO120" s="121">
        <f>SUM(AO121:AO126)</f>
        <v>0</v>
      </c>
      <c r="AP120" s="121">
        <f>SUM(AP121:AP126)</f>
        <v>0</v>
      </c>
      <c r="AQ120" s="125">
        <f>SUM(AQ121:AQ126)</f>
        <v>6</v>
      </c>
      <c r="AR120" s="145"/>
      <c r="AS120" s="95"/>
      <c r="AT120" s="95"/>
      <c r="AU120" s="95"/>
      <c r="AV120" s="95"/>
      <c r="AW120" s="95"/>
      <c r="AX120" s="95"/>
      <c r="AY120" s="95"/>
      <c r="AZ120" s="95"/>
      <c r="BA120" s="95"/>
      <c r="BB120" s="95"/>
      <c r="BC120" s="95"/>
      <c r="BD120" s="95"/>
      <c r="BE120" s="95"/>
      <c r="BF120" s="95"/>
      <c r="BG120" s="95"/>
      <c r="BH120" s="95"/>
      <c r="BI120" s="95"/>
      <c r="BJ120" s="95"/>
      <c r="BK120" s="95"/>
      <c r="BL120" s="95"/>
      <c r="BM120" s="95"/>
      <c r="BN120" s="95"/>
      <c r="BO120" s="95"/>
      <c r="BP120" s="95"/>
      <c r="BQ120" s="95"/>
      <c r="BR120" s="95"/>
      <c r="BS120" s="95"/>
      <c r="BT120" s="95"/>
      <c r="BU120" s="95"/>
      <c r="BV120" s="95"/>
      <c r="BW120" s="95"/>
      <c r="BX120" s="95"/>
      <c r="BY120" s="95"/>
      <c r="BZ120" s="95"/>
      <c r="CA120" s="95"/>
      <c r="CB120" s="95"/>
      <c r="CC120" s="95"/>
      <c r="CD120" s="95"/>
    </row>
    <row r="121" spans="2:82" ht="15" customHeight="1" x14ac:dyDescent="0.3">
      <c r="E121" s="41"/>
      <c r="F121" s="41"/>
      <c r="G121" s="182">
        <f>Tables!$C$16</f>
        <v>4.24</v>
      </c>
      <c r="H121" s="182"/>
      <c r="K121" s="2" t="str">
        <f>Tables!$A$16</f>
        <v>(2-yr)</v>
      </c>
      <c r="L121" s="2"/>
      <c r="M121" s="180"/>
      <c r="N121" s="180"/>
      <c r="O121" s="180"/>
      <c r="P121" s="6"/>
      <c r="Q121" s="180"/>
      <c r="R121" s="180"/>
      <c r="S121" s="180"/>
      <c r="U121" s="180"/>
      <c r="V121" s="180"/>
      <c r="W121" s="180"/>
      <c r="Y121" s="180"/>
      <c r="Z121" s="180"/>
      <c r="AA121" s="180"/>
      <c r="AC121" s="180"/>
      <c r="AD121" s="180"/>
      <c r="AE121" s="180"/>
      <c r="AG121" s="180"/>
      <c r="AH121" s="180"/>
      <c r="AI121" s="180"/>
      <c r="AL121" s="121">
        <f>IF(ISBLANK(Y121),1,IF(Y121&gt;W$98,1,0))</f>
        <v>1</v>
      </c>
      <c r="AM121" s="121">
        <f>IF(ISBLANK(AC121),1,IF(AC121&gt;$AM$129,1,0))</f>
        <v>1</v>
      </c>
      <c r="AN121" s="121">
        <f>IF(OR(ISBLANK(M121),ISBLANK(AG121)),1,IF(AG121&gt;M121,1,0))</f>
        <v>1</v>
      </c>
      <c r="AO121" s="121">
        <f>IF($AN$153=0,0,IF($AG121&gt;=$AN$153,1,0))</f>
        <v>0</v>
      </c>
      <c r="AP121" s="121">
        <f t="shared" ref="AP121:AP126" si="7">IF($AN$155=0,0,IF($AG121&gt;=$AN$155,1,0))</f>
        <v>0</v>
      </c>
      <c r="AQ121" s="125">
        <f t="shared" ref="AQ121:AQ126" si="8">IF(OR(ISBLANK(M121),ISBLANK(AG121)),1,IF(AG121-M121&gt;-0.5,1,0))</f>
        <v>1</v>
      </c>
      <c r="AR121" s="145"/>
      <c r="AS121" s="95"/>
      <c r="AT121" s="95"/>
      <c r="AU121" s="95"/>
      <c r="AV121" s="95"/>
      <c r="AW121" s="95"/>
      <c r="AX121" s="95"/>
      <c r="AY121" s="95"/>
      <c r="AZ121" s="95"/>
      <c r="BA121" s="95"/>
      <c r="BB121" s="95"/>
      <c r="BC121" s="95"/>
      <c r="BD121" s="95"/>
      <c r="BE121" s="95"/>
      <c r="BF121" s="95"/>
      <c r="BG121" s="95"/>
      <c r="BH121" s="95"/>
      <c r="BI121" s="95"/>
      <c r="BJ121" s="95"/>
      <c r="BK121" s="95"/>
      <c r="BL121" s="95"/>
      <c r="BM121" s="95"/>
      <c r="BN121" s="95"/>
      <c r="BO121" s="95"/>
      <c r="BP121" s="95"/>
      <c r="BQ121" s="95"/>
      <c r="BR121" s="95"/>
      <c r="BS121" s="95"/>
      <c r="BT121" s="95"/>
      <c r="BU121" s="95"/>
      <c r="BV121" s="95"/>
      <c r="BW121" s="95"/>
      <c r="BX121" s="95"/>
      <c r="BY121" s="95"/>
      <c r="BZ121" s="95"/>
      <c r="CA121" s="95"/>
      <c r="CB121" s="95"/>
      <c r="CC121" s="95"/>
      <c r="CD121" s="95"/>
    </row>
    <row r="122" spans="2:82" ht="15" customHeight="1" x14ac:dyDescent="0.3">
      <c r="E122" s="41"/>
      <c r="F122" s="41"/>
      <c r="G122" s="182">
        <f>Tables!$C$17</f>
        <v>5.3</v>
      </c>
      <c r="H122" s="182"/>
      <c r="K122" s="2" t="str">
        <f>Tables!$A$17</f>
        <v>(5-yr)</v>
      </c>
      <c r="L122" s="2"/>
      <c r="M122" s="180"/>
      <c r="N122" s="180"/>
      <c r="O122" s="180"/>
      <c r="P122" s="6"/>
      <c r="Q122" s="179"/>
      <c r="R122" s="179"/>
      <c r="S122" s="179"/>
      <c r="U122" s="179"/>
      <c r="V122" s="179"/>
      <c r="W122" s="179"/>
      <c r="Y122" s="179"/>
      <c r="Z122" s="179"/>
      <c r="AA122" s="179"/>
      <c r="AC122" s="179"/>
      <c r="AD122" s="179"/>
      <c r="AE122" s="179"/>
      <c r="AG122" s="179"/>
      <c r="AH122" s="179"/>
      <c r="AI122" s="179"/>
      <c r="AL122" s="121">
        <f t="shared" ref="AL122:AL124" si="9">IF(ISBLANK(Y122),1,IF(Y122&gt;W$98,1,0))</f>
        <v>1</v>
      </c>
      <c r="AM122" s="121">
        <f t="shared" ref="AM122:AM126" si="10">IF(ISBLANK(AC122),1,IF(AC122&gt;$AM$129,1,0))</f>
        <v>1</v>
      </c>
      <c r="AN122" s="121">
        <f t="shared" ref="AN122:AN126" si="11">IF(OR(ISBLANK(M122),ISBLANK(AG122)),1,IF(AG122&gt;M122,1,0))</f>
        <v>1</v>
      </c>
      <c r="AO122" s="121">
        <f>IF($AN$153=0,0,IF(AG122&gt;=$AN$153,1,0))</f>
        <v>0</v>
      </c>
      <c r="AP122" s="121">
        <f t="shared" si="7"/>
        <v>0</v>
      </c>
      <c r="AQ122" s="125">
        <f t="shared" si="8"/>
        <v>1</v>
      </c>
      <c r="AR122" s="14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5"/>
      <c r="CD122" s="95"/>
    </row>
    <row r="123" spans="2:82" ht="15" customHeight="1" x14ac:dyDescent="0.3">
      <c r="E123" s="41"/>
      <c r="F123" s="41"/>
      <c r="G123" s="182">
        <f>Tables!$C$18</f>
        <v>6.24</v>
      </c>
      <c r="H123" s="182"/>
      <c r="K123" s="2" t="str">
        <f>Tables!$A$18</f>
        <v>(10-yr)</v>
      </c>
      <c r="L123" s="2"/>
      <c r="M123" s="180"/>
      <c r="N123" s="180"/>
      <c r="O123" s="180"/>
      <c r="P123" s="6"/>
      <c r="Q123" s="179"/>
      <c r="R123" s="179"/>
      <c r="S123" s="179"/>
      <c r="U123" s="179"/>
      <c r="V123" s="179"/>
      <c r="W123" s="179"/>
      <c r="Y123" s="179"/>
      <c r="Z123" s="179"/>
      <c r="AA123" s="179"/>
      <c r="AC123" s="179"/>
      <c r="AD123" s="179"/>
      <c r="AE123" s="179"/>
      <c r="AG123" s="179"/>
      <c r="AH123" s="179"/>
      <c r="AI123" s="179"/>
      <c r="AL123" s="121">
        <f t="shared" si="9"/>
        <v>1</v>
      </c>
      <c r="AM123" s="121">
        <f t="shared" si="10"/>
        <v>1</v>
      </c>
      <c r="AN123" s="121">
        <f t="shared" si="11"/>
        <v>1</v>
      </c>
      <c r="AO123" s="121">
        <f>IF($AN$153=0,0,IF(AG123&gt;=$AN$153,1,0))</f>
        <v>0</v>
      </c>
      <c r="AP123" s="121">
        <f t="shared" si="7"/>
        <v>0</v>
      </c>
      <c r="AQ123" s="125">
        <f t="shared" si="8"/>
        <v>1</v>
      </c>
      <c r="AR123" s="145"/>
      <c r="AS123" s="95"/>
      <c r="AT123" s="95"/>
      <c r="AU123" s="95"/>
      <c r="AV123" s="95"/>
      <c r="AW123" s="95"/>
      <c r="AX123" s="95"/>
      <c r="AY123" s="95"/>
      <c r="AZ123" s="95"/>
      <c r="BA123" s="95"/>
      <c r="BB123" s="95"/>
      <c r="BC123" s="95"/>
      <c r="BD123" s="95"/>
      <c r="BE123" s="95"/>
      <c r="BF123" s="95"/>
      <c r="BG123" s="95"/>
      <c r="BH123" s="95"/>
      <c r="BI123" s="95"/>
      <c r="BJ123" s="95"/>
      <c r="BK123" s="95"/>
      <c r="BL123" s="95"/>
      <c r="BM123" s="95"/>
      <c r="BN123" s="95"/>
      <c r="BO123" s="95"/>
      <c r="BP123" s="95"/>
      <c r="BQ123" s="95"/>
      <c r="BR123" s="95"/>
      <c r="BS123" s="95"/>
      <c r="BT123" s="95"/>
      <c r="BU123" s="95"/>
      <c r="BV123" s="95"/>
      <c r="BW123" s="95"/>
      <c r="BX123" s="95"/>
      <c r="BY123" s="95"/>
      <c r="BZ123" s="95"/>
      <c r="CA123" s="95"/>
      <c r="CB123" s="95"/>
      <c r="CC123" s="95"/>
      <c r="CD123" s="95"/>
    </row>
    <row r="124" spans="2:82" ht="15" customHeight="1" x14ac:dyDescent="0.3">
      <c r="E124" s="41"/>
      <c r="F124" s="41"/>
      <c r="G124" s="182">
        <f>Tables!$C$19</f>
        <v>7.64</v>
      </c>
      <c r="H124" s="182"/>
      <c r="K124" s="2" t="str">
        <f>Tables!$A$19</f>
        <v>(25-yr)</v>
      </c>
      <c r="L124" s="2"/>
      <c r="M124" s="180"/>
      <c r="N124" s="180"/>
      <c r="O124" s="180"/>
      <c r="P124" s="6"/>
      <c r="Q124" s="179"/>
      <c r="R124" s="179"/>
      <c r="S124" s="179"/>
      <c r="U124" s="179"/>
      <c r="V124" s="179"/>
      <c r="W124" s="179"/>
      <c r="Y124" s="179"/>
      <c r="Z124" s="179"/>
      <c r="AA124" s="179"/>
      <c r="AC124" s="179"/>
      <c r="AD124" s="179"/>
      <c r="AE124" s="179"/>
      <c r="AG124" s="179"/>
      <c r="AH124" s="179"/>
      <c r="AI124" s="179"/>
      <c r="AL124" s="121">
        <f t="shared" si="9"/>
        <v>1</v>
      </c>
      <c r="AM124" s="121">
        <f t="shared" si="10"/>
        <v>1</v>
      </c>
      <c r="AN124" s="121">
        <f t="shared" si="11"/>
        <v>1</v>
      </c>
      <c r="AO124" s="121">
        <f>IF($AN$153=0,0,IF(AG124&gt;=$AN$153,1,0))</f>
        <v>0</v>
      </c>
      <c r="AP124" s="121">
        <f t="shared" si="7"/>
        <v>0</v>
      </c>
      <c r="AQ124" s="125">
        <f t="shared" si="8"/>
        <v>1</v>
      </c>
      <c r="AR124" s="14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c r="BQ124" s="95"/>
      <c r="BR124" s="95"/>
      <c r="BS124" s="95"/>
      <c r="BT124" s="95"/>
      <c r="BU124" s="95"/>
      <c r="BV124" s="95"/>
      <c r="BW124" s="95"/>
      <c r="BX124" s="95"/>
      <c r="BY124" s="95"/>
      <c r="BZ124" s="95"/>
      <c r="CA124" s="95"/>
      <c r="CB124" s="95"/>
      <c r="CC124" s="95"/>
      <c r="CD124" s="95"/>
    </row>
    <row r="125" spans="2:82" ht="15" customHeight="1" x14ac:dyDescent="0.3">
      <c r="E125" s="41"/>
      <c r="F125" s="41"/>
      <c r="G125" s="182">
        <f>Tables!$C$20</f>
        <v>8.8000000000000007</v>
      </c>
      <c r="H125" s="182"/>
      <c r="K125" s="2" t="str">
        <f>Tables!$A$20</f>
        <v>(50-yr)</v>
      </c>
      <c r="L125" s="2"/>
      <c r="M125" s="180"/>
      <c r="N125" s="180"/>
      <c r="O125" s="180"/>
      <c r="P125" s="6"/>
      <c r="Q125" s="179"/>
      <c r="R125" s="179"/>
      <c r="S125" s="179"/>
      <c r="U125" s="179"/>
      <c r="V125" s="179"/>
      <c r="W125" s="179"/>
      <c r="Y125" s="179"/>
      <c r="Z125" s="179"/>
      <c r="AA125" s="179"/>
      <c r="AC125" s="179"/>
      <c r="AD125" s="179"/>
      <c r="AE125" s="179"/>
      <c r="AG125" s="179"/>
      <c r="AH125" s="179"/>
      <c r="AI125" s="179"/>
      <c r="AL125" s="127">
        <f>IF(OR(ISBLANK($AF$98),ISBLANK(Y125)),0,$AF$98-Y125)</f>
        <v>0</v>
      </c>
      <c r="AM125" s="121">
        <f t="shared" si="10"/>
        <v>1</v>
      </c>
      <c r="AN125" s="121">
        <f t="shared" si="11"/>
        <v>1</v>
      </c>
      <c r="AO125" s="121">
        <f>IF($AN$153=0,0,IF(AG125&gt;=$AN$153,1,0))</f>
        <v>0</v>
      </c>
      <c r="AP125" s="121">
        <f t="shared" si="7"/>
        <v>0</v>
      </c>
      <c r="AQ125" s="125">
        <f t="shared" si="8"/>
        <v>1</v>
      </c>
      <c r="AR125" s="14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c r="BR125" s="95"/>
      <c r="BS125" s="95"/>
      <c r="BT125" s="95"/>
      <c r="BU125" s="95"/>
      <c r="BV125" s="95"/>
      <c r="BW125" s="95"/>
      <c r="BX125" s="95"/>
      <c r="BY125" s="95"/>
      <c r="BZ125" s="95"/>
      <c r="CA125" s="95"/>
      <c r="CB125" s="95"/>
      <c r="CC125" s="95"/>
      <c r="CD125" s="95"/>
    </row>
    <row r="126" spans="2:82" ht="15" customHeight="1" x14ac:dyDescent="0.3">
      <c r="E126" s="41"/>
      <c r="F126" s="41"/>
      <c r="G126" s="182">
        <f>Tables!$C$21</f>
        <v>10</v>
      </c>
      <c r="H126" s="182"/>
      <c r="K126" s="2" t="str">
        <f>Tables!$A$21</f>
        <v>(100-yr)</v>
      </c>
      <c r="L126" s="2"/>
      <c r="M126" s="180"/>
      <c r="N126" s="180"/>
      <c r="O126" s="180"/>
      <c r="P126" s="6"/>
      <c r="Q126" s="179"/>
      <c r="R126" s="179"/>
      <c r="S126" s="179"/>
      <c r="U126" s="179"/>
      <c r="V126" s="179"/>
      <c r="W126" s="179"/>
      <c r="Y126" s="179"/>
      <c r="Z126" s="179"/>
      <c r="AA126" s="179"/>
      <c r="AC126" s="179"/>
      <c r="AD126" s="179"/>
      <c r="AE126" s="179"/>
      <c r="AG126" s="179"/>
      <c r="AH126" s="179"/>
      <c r="AI126" s="179"/>
      <c r="AL126" s="127">
        <f>IF(OR(ISBLANK($AF$98),ISBLANK(Y126)),0,$AF$98-Y126)</f>
        <v>0</v>
      </c>
      <c r="AM126" s="121">
        <f t="shared" si="10"/>
        <v>1</v>
      </c>
      <c r="AN126" s="121">
        <f t="shared" si="11"/>
        <v>1</v>
      </c>
      <c r="AO126" s="121">
        <f>IF($AN$153=0,0,IF(AG126&gt;=$AN$153,1,0))</f>
        <v>0</v>
      </c>
      <c r="AP126" s="121">
        <f t="shared" si="7"/>
        <v>0</v>
      </c>
      <c r="AQ126" s="125">
        <f t="shared" si="8"/>
        <v>1</v>
      </c>
      <c r="AR126" s="14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c r="BR126" s="95"/>
      <c r="BS126" s="95"/>
      <c r="BT126" s="95"/>
      <c r="BU126" s="95"/>
      <c r="BV126" s="95"/>
      <c r="BW126" s="95"/>
      <c r="BX126" s="95"/>
      <c r="BY126" s="95"/>
      <c r="BZ126" s="95"/>
      <c r="CA126" s="95"/>
      <c r="CB126" s="95"/>
      <c r="CC126" s="95"/>
      <c r="CD126" s="95"/>
    </row>
    <row r="127" spans="2:82" ht="15" customHeight="1" x14ac:dyDescent="0.3"/>
    <row r="128" spans="2:82" ht="15" customHeight="1" x14ac:dyDescent="0.3">
      <c r="B128" s="5" t="s">
        <v>23</v>
      </c>
      <c r="AM128" s="121">
        <f>IF(ISBLANK(K95),1,2)</f>
        <v>1</v>
      </c>
      <c r="AN128" s="13" t="s">
        <v>440</v>
      </c>
    </row>
    <row r="129" spans="2:83" ht="15" customHeight="1" x14ac:dyDescent="0.3">
      <c r="B129" s="192"/>
      <c r="C129" s="193"/>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3"/>
      <c r="Z129" s="193"/>
      <c r="AA129" s="193"/>
      <c r="AB129" s="193"/>
      <c r="AC129" s="193"/>
      <c r="AD129" s="193"/>
      <c r="AE129" s="193"/>
      <c r="AF129" s="193"/>
      <c r="AG129" s="193"/>
      <c r="AH129" s="193"/>
      <c r="AI129" s="193"/>
      <c r="AJ129" s="194"/>
      <c r="AM129" s="127">
        <f>Tables!C26</f>
        <v>6</v>
      </c>
      <c r="AN129" s="63" t="s">
        <v>366</v>
      </c>
    </row>
    <row r="130" spans="2:83" ht="15" customHeight="1" x14ac:dyDescent="0.3">
      <c r="B130" s="195"/>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7"/>
    </row>
    <row r="131" spans="2:83" ht="15" customHeight="1" x14ac:dyDescent="0.3">
      <c r="B131" s="195"/>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7"/>
    </row>
    <row r="132" spans="2:83" ht="15" customHeight="1" x14ac:dyDescent="0.3">
      <c r="B132" s="195"/>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7"/>
    </row>
    <row r="133" spans="2:83" ht="15" customHeight="1" x14ac:dyDescent="0.3">
      <c r="B133" s="198"/>
      <c r="C133" s="199"/>
      <c r="D133" s="199"/>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200"/>
    </row>
    <row r="134" spans="2:83" ht="15" customHeight="1" x14ac:dyDescent="0.3">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row>
    <row r="135" spans="2:83" ht="15" customHeight="1" x14ac:dyDescent="0.3">
      <c r="B135" s="1" t="s">
        <v>19</v>
      </c>
      <c r="C135" s="1"/>
      <c r="D135" s="1"/>
      <c r="E135" s="1"/>
      <c r="F135" s="1"/>
      <c r="G135" s="1"/>
      <c r="H135" s="1"/>
      <c r="I135" s="1"/>
    </row>
    <row r="136" spans="2:83" ht="15" customHeight="1" x14ac:dyDescent="0.3">
      <c r="B136" s="112" t="s">
        <v>325</v>
      </c>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CE136" s="112"/>
    </row>
    <row r="137" spans="2:83" ht="15" customHeight="1" x14ac:dyDescent="0.3">
      <c r="B137" s="67"/>
      <c r="C137" s="75" t="s">
        <v>116</v>
      </c>
      <c r="D137" s="112" t="str">
        <f>"Is designed in accordance with the latest version of the "&amp;Tables!C23&amp;"'s requirements;"</f>
        <v>Is designed in accordance with the latest version of the City's requirements;</v>
      </c>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CE137" s="112"/>
    </row>
    <row r="138" spans="2:83" ht="15" customHeight="1" x14ac:dyDescent="0.3">
      <c r="B138" s="67"/>
      <c r="C138" s="75" t="s">
        <v>116</v>
      </c>
      <c r="D138" s="112" t="s">
        <v>321</v>
      </c>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CE138" s="112"/>
    </row>
    <row r="139" spans="2:83" ht="15" customHeight="1" x14ac:dyDescent="0.3">
      <c r="B139" s="67"/>
      <c r="C139" s="75" t="s">
        <v>116</v>
      </c>
      <c r="D139" s="112" t="s">
        <v>322</v>
      </c>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CE139" s="112"/>
    </row>
    <row r="140" spans="2:83" ht="15" customHeight="1" x14ac:dyDescent="0.3">
      <c r="B140" s="67"/>
      <c r="C140" s="75" t="s">
        <v>116</v>
      </c>
      <c r="D140" s="112" t="s">
        <v>323</v>
      </c>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P140" s="203" t="s">
        <v>489</v>
      </c>
      <c r="AQ140" s="204"/>
      <c r="CE140" s="112"/>
    </row>
    <row r="141" spans="2:83" ht="15" customHeight="1" x14ac:dyDescent="0.3">
      <c r="B141" s="67"/>
      <c r="C141" s="75" t="s">
        <v>116</v>
      </c>
      <c r="D141" s="112" t="s">
        <v>324</v>
      </c>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P141" s="152" t="s">
        <v>486</v>
      </c>
      <c r="AQ141" s="153" t="s">
        <v>160</v>
      </c>
      <c r="CE141" s="112"/>
    </row>
    <row r="142" spans="2:83" ht="15" customHeight="1" x14ac:dyDescent="0.3">
      <c r="E142" s="2" t="s">
        <v>184</v>
      </c>
      <c r="F142" s="164"/>
      <c r="G142" s="164"/>
      <c r="H142" s="164"/>
      <c r="I142" s="164"/>
      <c r="J142" s="164"/>
      <c r="K142" s="164"/>
      <c r="L142" s="164"/>
      <c r="M142" s="164"/>
      <c r="N142" s="164"/>
      <c r="O142" s="164"/>
      <c r="P142" s="164"/>
      <c r="Q142" s="164"/>
      <c r="R142" s="164"/>
      <c r="S142" s="164"/>
      <c r="T142" s="164"/>
      <c r="U142" s="164"/>
      <c r="V142" s="164"/>
      <c r="W142" s="164"/>
      <c r="X142" s="164"/>
      <c r="Y142" s="164"/>
      <c r="Z142" s="164"/>
      <c r="AC142" s="2" t="s">
        <v>378</v>
      </c>
      <c r="AD142" s="2"/>
      <c r="AE142" s="2"/>
      <c r="AF142" s="2"/>
      <c r="AP142" s="154">
        <v>2</v>
      </c>
      <c r="AQ142" s="155">
        <f t="shared" ref="AQ142:AQ147" si="12">M121</f>
        <v>0</v>
      </c>
      <c r="CE142" s="112"/>
    </row>
    <row r="143" spans="2:83" ht="15" customHeight="1" x14ac:dyDescent="0.3">
      <c r="E143" s="2" t="s">
        <v>144</v>
      </c>
      <c r="F143" s="190"/>
      <c r="G143" s="190"/>
      <c r="H143" s="190"/>
      <c r="I143" s="190"/>
      <c r="J143" s="190"/>
      <c r="K143" s="190"/>
      <c r="L143" s="190"/>
      <c r="M143" s="190"/>
      <c r="N143" s="190"/>
      <c r="O143" s="190"/>
      <c r="P143" s="190"/>
      <c r="Q143" s="190"/>
      <c r="R143" s="190"/>
      <c r="S143" s="190"/>
      <c r="T143" s="190"/>
      <c r="U143" s="190"/>
      <c r="V143" s="190"/>
      <c r="W143" s="190"/>
      <c r="X143" s="190"/>
      <c r="Y143" s="190"/>
      <c r="Z143" s="190"/>
      <c r="AP143" s="154">
        <v>5</v>
      </c>
      <c r="AQ143" s="155">
        <f t="shared" si="12"/>
        <v>0</v>
      </c>
    </row>
    <row r="144" spans="2:83" ht="15" customHeight="1" x14ac:dyDescent="0.3">
      <c r="E144" s="2" t="s">
        <v>145</v>
      </c>
      <c r="F144" s="190"/>
      <c r="G144" s="190"/>
      <c r="H144" s="190"/>
      <c r="I144" s="190"/>
      <c r="J144" s="190"/>
      <c r="K144" s="190"/>
      <c r="L144" s="190"/>
      <c r="M144" s="190"/>
      <c r="N144" s="190"/>
      <c r="O144" s="190"/>
      <c r="P144" s="190"/>
      <c r="Q144" s="190"/>
      <c r="R144" s="190"/>
      <c r="S144" s="190"/>
      <c r="T144" s="190"/>
      <c r="U144" s="190"/>
      <c r="V144" s="190"/>
      <c r="W144" s="190"/>
      <c r="X144" s="190"/>
      <c r="Y144" s="190"/>
      <c r="Z144" s="190"/>
      <c r="AP144" s="154">
        <v>10</v>
      </c>
      <c r="AQ144" s="155">
        <f t="shared" si="12"/>
        <v>0</v>
      </c>
    </row>
    <row r="145" spans="2:43" ht="15" customHeight="1" x14ac:dyDescent="0.3">
      <c r="E145" s="2" t="s">
        <v>359</v>
      </c>
      <c r="F145" s="190"/>
      <c r="G145" s="190"/>
      <c r="H145" s="190"/>
      <c r="I145" s="190"/>
      <c r="J145" s="190"/>
      <c r="K145" s="190"/>
      <c r="L145" s="190"/>
      <c r="M145" s="78"/>
      <c r="N145" s="78"/>
      <c r="O145" s="133" t="s">
        <v>148</v>
      </c>
      <c r="P145" s="190"/>
      <c r="Q145" s="190"/>
      <c r="R145" s="190"/>
      <c r="S145" s="190"/>
      <c r="T145" s="78"/>
      <c r="U145" s="78"/>
      <c r="V145" s="78"/>
      <c r="W145" s="133" t="s">
        <v>149</v>
      </c>
      <c r="X145" s="178"/>
      <c r="Y145" s="178"/>
      <c r="Z145" s="178"/>
      <c r="AP145" s="154">
        <v>25</v>
      </c>
      <c r="AQ145" s="155">
        <f t="shared" si="12"/>
        <v>0</v>
      </c>
    </row>
    <row r="146" spans="2:43" ht="15" customHeight="1" x14ac:dyDescent="0.3">
      <c r="E146" s="2" t="s">
        <v>146</v>
      </c>
      <c r="F146" s="205"/>
      <c r="G146" s="205"/>
      <c r="H146" s="205"/>
      <c r="I146" s="205"/>
      <c r="J146" s="205"/>
      <c r="K146" s="205"/>
      <c r="L146" s="205"/>
      <c r="M146" s="205"/>
      <c r="N146" s="205"/>
      <c r="O146" s="205"/>
      <c r="P146" s="205"/>
      <c r="Q146" s="205"/>
      <c r="R146" s="205"/>
      <c r="S146" s="205"/>
      <c r="T146" s="205"/>
      <c r="U146" s="205"/>
      <c r="V146" s="205"/>
      <c r="W146" s="205"/>
      <c r="X146" s="205"/>
      <c r="Y146" s="205"/>
      <c r="Z146" s="205"/>
      <c r="AP146" s="154">
        <v>50</v>
      </c>
      <c r="AQ146" s="155">
        <f t="shared" si="12"/>
        <v>0</v>
      </c>
    </row>
    <row r="147" spans="2:43" ht="15" customHeight="1" x14ac:dyDescent="0.3">
      <c r="E147" s="2" t="s">
        <v>150</v>
      </c>
      <c r="F147" s="191"/>
      <c r="G147" s="191"/>
      <c r="H147" s="191"/>
      <c r="I147" s="191"/>
      <c r="J147" s="191"/>
      <c r="V147" s="67"/>
      <c r="W147" s="67"/>
      <c r="X147" s="67"/>
      <c r="AP147" s="156">
        <v>100</v>
      </c>
      <c r="AQ147" s="157">
        <f t="shared" si="12"/>
        <v>0</v>
      </c>
    </row>
    <row r="148" spans="2:43" ht="15" customHeight="1" x14ac:dyDescent="0.3">
      <c r="E148" s="2"/>
      <c r="F148" s="78"/>
      <c r="G148" s="78"/>
      <c r="H148" s="78"/>
      <c r="I148" s="78"/>
      <c r="J148" s="78"/>
      <c r="V148" s="67"/>
      <c r="W148" s="67"/>
      <c r="X148" s="67"/>
    </row>
    <row r="149" spans="2:43" ht="15" customHeight="1" x14ac:dyDescent="0.3">
      <c r="E149" s="2" t="s">
        <v>185</v>
      </c>
      <c r="F149" s="103"/>
      <c r="G149" s="103"/>
      <c r="H149" s="103"/>
      <c r="I149" s="103"/>
      <c r="J149" s="103"/>
      <c r="K149" s="103"/>
      <c r="L149" s="103"/>
      <c r="M149" s="103"/>
      <c r="N149" s="103"/>
      <c r="O149" s="103"/>
      <c r="P149" s="103"/>
      <c r="Q149" s="103"/>
      <c r="R149" s="103"/>
      <c r="S149" s="103"/>
      <c r="T149" s="103"/>
      <c r="U149" s="103"/>
      <c r="V149" s="67"/>
      <c r="W149" s="67"/>
      <c r="X149" s="67"/>
      <c r="AC149" s="2" t="s">
        <v>180</v>
      </c>
      <c r="AD149" s="177"/>
      <c r="AE149" s="177"/>
      <c r="AF149" s="177"/>
      <c r="AG149" s="177"/>
      <c r="AH149" s="177"/>
    </row>
    <row r="150" spans="2:43" ht="15" customHeight="1" x14ac:dyDescent="0.3"/>
    <row r="151" spans="2:43" ht="15" customHeight="1" x14ac:dyDescent="0.3">
      <c r="B151" s="1" t="s">
        <v>400</v>
      </c>
      <c r="AN151" s="23" t="s">
        <v>160</v>
      </c>
      <c r="AO151" s="23" t="s">
        <v>485</v>
      </c>
      <c r="AP151" s="23" t="s">
        <v>486</v>
      </c>
      <c r="AQ151" s="23" t="s">
        <v>487</v>
      </c>
    </row>
    <row r="152" spans="2:43" ht="4.95" customHeight="1" x14ac:dyDescent="0.3"/>
    <row r="153" spans="2:43" ht="15" customHeight="1" x14ac:dyDescent="0.3">
      <c r="C153" s="70"/>
      <c r="D153" s="39" t="s">
        <v>130</v>
      </c>
      <c r="F153" s="70"/>
      <c r="G153" s="39" t="s">
        <v>131</v>
      </c>
      <c r="I153" s="39" t="s">
        <v>443</v>
      </c>
      <c r="Y153" s="39" t="str">
        <f>IF(AO153="Yes","Detain 100-yr event to "&amp;AP153&amp;"-yr discharge.","")</f>
        <v/>
      </c>
      <c r="AL153" s="121">
        <f>IF(AND(ISBLANK(C153),ISBLANK(F153)),1,2)</f>
        <v>1</v>
      </c>
      <c r="AM153" s="121">
        <f>IF(ISBLANK(C153),1,2)</f>
        <v>1</v>
      </c>
      <c r="AN153" s="127">
        <f>IF(AO153="Yes",IF($AM$153=2,$AQ$153,0),0)</f>
        <v>0</v>
      </c>
      <c r="AO153" s="121" t="str">
        <f>Tables!C29</f>
        <v>No</v>
      </c>
      <c r="AP153" s="126">
        <f>Tables!C30</f>
        <v>0</v>
      </c>
      <c r="AQ153" s="127" t="e">
        <f>VLOOKUP(AP153,$AP$142:$AQ$147,2)</f>
        <v>#N/A</v>
      </c>
    </row>
    <row r="154" spans="2:43" ht="4.95" customHeight="1" x14ac:dyDescent="0.3"/>
    <row r="155" spans="2:43" ht="15" customHeight="1" x14ac:dyDescent="0.3">
      <c r="C155" s="70"/>
      <c r="D155" s="39" t="s">
        <v>130</v>
      </c>
      <c r="F155" s="70"/>
      <c r="G155" s="39" t="s">
        <v>131</v>
      </c>
      <c r="I155" s="39" t="s">
        <v>444</v>
      </c>
      <c r="Y155" s="39" t="str">
        <f>IF(AO155="Yes","Detain 100-yr event to "&amp;AP155&amp;"-yr discharge.","")</f>
        <v/>
      </c>
      <c r="AL155" s="121">
        <f>IF(AND(ISBLANK(C155),ISBLANK(F155)),1,2)</f>
        <v>1</v>
      </c>
      <c r="AM155" s="121">
        <f>IF(ISBLANK(C155),1,2)</f>
        <v>1</v>
      </c>
      <c r="AN155" s="127">
        <f>IF(AO155="Yes",IF($AM$155=2,$AQ$155,0),0)</f>
        <v>0</v>
      </c>
      <c r="AO155" s="121" t="str">
        <f>Tables!C31</f>
        <v>No</v>
      </c>
      <c r="AP155" s="126">
        <f>Tables!C32</f>
        <v>0</v>
      </c>
      <c r="AQ155" s="127" t="e">
        <f>VLOOKUP(AP155,$AP$142:$AQ$147,2)</f>
        <v>#N/A</v>
      </c>
    </row>
    <row r="156" spans="2:43" ht="4.95" customHeight="1" x14ac:dyDescent="0.3">
      <c r="AL156" s="23"/>
      <c r="AM156" s="23"/>
      <c r="AN156" s="160"/>
      <c r="AO156" s="23"/>
      <c r="AP156" s="161"/>
      <c r="AQ156" s="160"/>
    </row>
    <row r="157" spans="2:43" ht="15" customHeight="1" x14ac:dyDescent="0.3">
      <c r="C157" s="70"/>
      <c r="D157" s="39" t="s">
        <v>130</v>
      </c>
      <c r="F157" s="70"/>
      <c r="G157" s="39" t="s">
        <v>131</v>
      </c>
      <c r="I157" s="39" t="s">
        <v>412</v>
      </c>
      <c r="AL157" s="121">
        <f>IF(AND(ISBLANK(C157),ISBLANK(F157)),1,2)</f>
        <v>1</v>
      </c>
      <c r="AM157" s="121">
        <f>IF(ISBLANK(F157),1,2)</f>
        <v>1</v>
      </c>
    </row>
    <row r="158" spans="2:43" ht="4.95" customHeight="1" x14ac:dyDescent="0.3">
      <c r="AL158" s="23"/>
      <c r="AM158" s="23"/>
      <c r="AN158" s="160"/>
      <c r="AO158" s="23"/>
      <c r="AP158" s="161"/>
      <c r="AQ158" s="160"/>
    </row>
    <row r="159" spans="2:43" ht="15" customHeight="1" x14ac:dyDescent="0.3">
      <c r="AL159" s="23"/>
      <c r="AM159" s="23"/>
      <c r="AN159" s="160"/>
      <c r="AO159" s="23"/>
      <c r="AP159" s="161"/>
      <c r="AQ159" s="160"/>
    </row>
    <row r="160" spans="2:43" ht="15" customHeight="1" x14ac:dyDescent="0.3">
      <c r="B160" s="166">
        <f>Tables!$C$13</f>
        <v>45566</v>
      </c>
      <c r="C160" s="166"/>
      <c r="D160" s="166"/>
      <c r="E160" s="166"/>
      <c r="F160" s="166"/>
      <c r="G160" s="166"/>
      <c r="H160" s="166"/>
      <c r="R160" s="167" t="s">
        <v>294</v>
      </c>
      <c r="S160" s="167"/>
      <c r="T160" s="167"/>
      <c r="U160" s="167"/>
      <c r="AK160" s="41"/>
      <c r="AP160" s="161"/>
      <c r="AQ160" s="160"/>
    </row>
    <row r="161" spans="2:44" ht="15" customHeight="1" x14ac:dyDescent="0.3">
      <c r="C161" s="2" t="s">
        <v>1</v>
      </c>
      <c r="D161" s="169">
        <f>IF(ISBLANK($E$13),0,$E$13)</f>
        <v>0</v>
      </c>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46"/>
      <c r="AD161" s="2" t="s">
        <v>21</v>
      </c>
      <c r="AE161" s="170">
        <f>IF(ISBLANK($AE$13),0,$AE$13)</f>
        <v>0</v>
      </c>
      <c r="AF161" s="170"/>
      <c r="AG161" s="170"/>
      <c r="AH161" s="170"/>
      <c r="AI161" s="170"/>
      <c r="AJ161" s="170"/>
      <c r="AK161" s="41"/>
      <c r="AP161" s="161"/>
      <c r="AQ161" s="160"/>
    </row>
    <row r="162" spans="2:44" ht="15" customHeight="1" x14ac:dyDescent="0.3">
      <c r="C162" s="47"/>
      <c r="D162" s="47"/>
      <c r="E162" s="47"/>
      <c r="F162" s="47"/>
      <c r="G162" s="47"/>
      <c r="H162" s="47"/>
      <c r="I162" s="47"/>
      <c r="J162" s="2"/>
      <c r="K162" s="2"/>
      <c r="L162" s="2"/>
      <c r="M162" s="2"/>
      <c r="N162" s="47"/>
      <c r="O162" s="46"/>
      <c r="P162" s="46"/>
      <c r="Q162" s="46"/>
      <c r="R162" s="46"/>
      <c r="S162" s="46"/>
      <c r="T162" s="46"/>
      <c r="U162" s="46"/>
      <c r="V162" s="46"/>
      <c r="W162" s="46"/>
      <c r="X162" s="46"/>
      <c r="Y162" s="46"/>
      <c r="Z162" s="46"/>
      <c r="AD162" s="2" t="s">
        <v>35</v>
      </c>
      <c r="AE162" s="171">
        <f>IF(ISBLANK($AE$14),0,$AE$14)</f>
        <v>0</v>
      </c>
      <c r="AF162" s="171"/>
      <c r="AG162" s="171"/>
      <c r="AH162" s="171"/>
      <c r="AI162" s="171"/>
      <c r="AJ162" s="171"/>
      <c r="AK162" s="41"/>
      <c r="AP162" s="161"/>
      <c r="AQ162" s="160"/>
    </row>
    <row r="163" spans="2:44" ht="15" customHeight="1" x14ac:dyDescent="0.3">
      <c r="B163" s="1" t="s">
        <v>490</v>
      </c>
      <c r="AP163" s="161"/>
      <c r="AQ163" s="160"/>
    </row>
    <row r="164" spans="2:44" ht="4.95" customHeight="1" x14ac:dyDescent="0.3"/>
    <row r="165" spans="2:44" ht="15" customHeight="1" x14ac:dyDescent="0.3">
      <c r="C165" s="70"/>
      <c r="D165" s="39" t="s">
        <v>130</v>
      </c>
      <c r="F165" s="70"/>
      <c r="G165" s="39" t="s">
        <v>131</v>
      </c>
      <c r="I165" s="39" t="s">
        <v>446</v>
      </c>
      <c r="J165" s="4"/>
      <c r="K165" s="4"/>
      <c r="L165" s="4"/>
      <c r="AL165" s="121">
        <f>IF(AND(ISBLANK(C165),ISBLANK(F165)),1,2)</f>
        <v>1</v>
      </c>
      <c r="AM165" s="121">
        <f>IF(ISBLANK(C165),1,2)</f>
        <v>1</v>
      </c>
    </row>
    <row r="166" spans="2:44" ht="4.95" customHeight="1" x14ac:dyDescent="0.3">
      <c r="C166" s="4"/>
      <c r="D166" s="4"/>
      <c r="E166" s="4"/>
      <c r="F166" s="4"/>
      <c r="G166" s="4"/>
      <c r="H166" s="4"/>
      <c r="I166" s="4"/>
      <c r="J166" s="4"/>
      <c r="K166" s="4"/>
      <c r="L166" s="4"/>
    </row>
    <row r="167" spans="2:44" ht="15" customHeight="1" x14ac:dyDescent="0.3">
      <c r="C167" s="70"/>
      <c r="D167" s="39" t="s">
        <v>130</v>
      </c>
      <c r="F167" s="70"/>
      <c r="G167" s="39" t="s">
        <v>131</v>
      </c>
      <c r="H167" s="4"/>
      <c r="I167" s="39" t="s">
        <v>472</v>
      </c>
      <c r="AL167" s="121">
        <f>IF(ISBLANK(C167),1,2)</f>
        <v>1</v>
      </c>
      <c r="AM167" s="121">
        <f>IF(ISBLANK(F167),1,2)</f>
        <v>1</v>
      </c>
      <c r="AN167" s="121">
        <f>SUM(AL167:AM167)</f>
        <v>2</v>
      </c>
      <c r="AO167" s="23"/>
      <c r="AP167" s="23"/>
    </row>
    <row r="168" spans="2:44" ht="4.95" customHeight="1" x14ac:dyDescent="0.3"/>
    <row r="169" spans="2:44" ht="15" customHeight="1" x14ac:dyDescent="0.3">
      <c r="C169" s="39" t="s">
        <v>473</v>
      </c>
    </row>
    <row r="170" spans="2:44" ht="4.95" customHeight="1" x14ac:dyDescent="0.3"/>
    <row r="171" spans="2:44" ht="15" customHeight="1" x14ac:dyDescent="0.3">
      <c r="C171" s="70"/>
      <c r="D171" s="39" t="s">
        <v>130</v>
      </c>
      <c r="F171" s="70"/>
      <c r="G171" s="39" t="s">
        <v>131</v>
      </c>
      <c r="I171" s="39" t="s">
        <v>401</v>
      </c>
      <c r="J171" s="4"/>
      <c r="K171" s="4"/>
      <c r="L171" s="4"/>
      <c r="AE171" s="2" t="s">
        <v>402</v>
      </c>
      <c r="AF171" s="70"/>
      <c r="AG171" s="39" t="s">
        <v>130</v>
      </c>
      <c r="AI171" s="70"/>
      <c r="AJ171" s="39" t="s">
        <v>131</v>
      </c>
      <c r="AL171" s="121">
        <f>IF(AND(ISBLANK(C171),ISBLANK(F171)),1,2)</f>
        <v>1</v>
      </c>
      <c r="AM171" s="121">
        <f>IF(ISBLANK(C171),1,2)</f>
        <v>1</v>
      </c>
      <c r="AN171" s="121">
        <f>IF(AND(LEN(C171)&gt;0,LEN(F171)&gt;0),4,1)</f>
        <v>1</v>
      </c>
      <c r="AO171" s="121">
        <f>IF(ISBLANK(AF171),1,2)</f>
        <v>1</v>
      </c>
      <c r="AP171" s="121">
        <f>IF(ISBLANK(AI171),1,2)</f>
        <v>1</v>
      </c>
      <c r="AQ171" s="121">
        <f>SUM(AO171:AP171)</f>
        <v>2</v>
      </c>
      <c r="AR171" s="4"/>
    </row>
    <row r="172" spans="2:44" ht="4.95" customHeight="1" x14ac:dyDescent="0.3"/>
    <row r="173" spans="2:44" ht="15" customHeight="1" x14ac:dyDescent="0.3">
      <c r="C173" s="70"/>
      <c r="D173" s="39" t="s">
        <v>130</v>
      </c>
      <c r="F173" s="70"/>
      <c r="G173" s="39" t="s">
        <v>131</v>
      </c>
      <c r="I173" s="39" t="s">
        <v>403</v>
      </c>
      <c r="J173" s="4"/>
      <c r="K173" s="4"/>
      <c r="L173" s="4"/>
      <c r="AE173" s="2" t="s">
        <v>402</v>
      </c>
      <c r="AF173" s="70"/>
      <c r="AG173" s="39" t="s">
        <v>130</v>
      </c>
      <c r="AI173" s="70"/>
      <c r="AJ173" s="39" t="s">
        <v>131</v>
      </c>
      <c r="AL173" s="121">
        <f>IF(AND(ISBLANK(C173),ISBLANK(F173)),1,2)</f>
        <v>1</v>
      </c>
      <c r="AM173" s="121">
        <f>IF(ISBLANK(C173),1,2)</f>
        <v>1</v>
      </c>
      <c r="AN173" s="121">
        <f>IF(AND(LEN(C173)&gt;0,LEN(F173)&gt;0),4,1)</f>
        <v>1</v>
      </c>
      <c r="AO173" s="121">
        <f>IF(ISBLANK(AF173),1,2)</f>
        <v>1</v>
      </c>
      <c r="AP173" s="121">
        <f>IF(ISBLANK(AI173),1,2)</f>
        <v>1</v>
      </c>
      <c r="AQ173" s="121">
        <f>SUM(AO173:AP173)</f>
        <v>2</v>
      </c>
      <c r="AR173" s="4"/>
    </row>
    <row r="174" spans="2:44" ht="4.95" customHeight="1" x14ac:dyDescent="0.3"/>
    <row r="175" spans="2:44" ht="15" customHeight="1" x14ac:dyDescent="0.3">
      <c r="C175" s="70"/>
      <c r="D175" s="39" t="s">
        <v>130</v>
      </c>
      <c r="F175" s="70"/>
      <c r="G175" s="39" t="s">
        <v>131</v>
      </c>
      <c r="I175" s="39" t="s">
        <v>404</v>
      </c>
      <c r="J175" s="4"/>
      <c r="K175" s="4"/>
      <c r="L175" s="4"/>
      <c r="AE175" s="2" t="s">
        <v>402</v>
      </c>
      <c r="AF175" s="70"/>
      <c r="AG175" s="39" t="s">
        <v>130</v>
      </c>
      <c r="AI175" s="70"/>
      <c r="AJ175" s="39" t="s">
        <v>131</v>
      </c>
      <c r="AL175" s="121">
        <f>IF(AND(ISBLANK(C175),ISBLANK(F175)),1,2)</f>
        <v>1</v>
      </c>
      <c r="AM175" s="121">
        <f>IF(ISBLANK(C175),1,2)</f>
        <v>1</v>
      </c>
      <c r="AN175" s="121">
        <f>IF(AND(LEN(C175)&gt;0,LEN(F175)&gt;0),4,1)</f>
        <v>1</v>
      </c>
      <c r="AO175" s="121">
        <f>IF(ISBLANK(AF175),1,2)</f>
        <v>1</v>
      </c>
      <c r="AP175" s="121">
        <f>IF(ISBLANK(AI175),1,2)</f>
        <v>1</v>
      </c>
      <c r="AQ175" s="121">
        <f>SUM(AO175:AP175)</f>
        <v>2</v>
      </c>
      <c r="AR175" s="4"/>
    </row>
    <row r="176" spans="2:44" ht="4.95" customHeight="1" x14ac:dyDescent="0.3"/>
    <row r="177" spans="2:44" ht="15" customHeight="1" x14ac:dyDescent="0.3">
      <c r="C177" s="70"/>
      <c r="D177" s="39" t="s">
        <v>130</v>
      </c>
      <c r="F177" s="70"/>
      <c r="G177" s="39" t="s">
        <v>131</v>
      </c>
      <c r="I177" s="39" t="s">
        <v>405</v>
      </c>
      <c r="J177" s="4"/>
      <c r="K177" s="4"/>
      <c r="L177" s="4"/>
      <c r="AE177" s="2" t="s">
        <v>402</v>
      </c>
      <c r="AF177" s="70"/>
      <c r="AG177" s="39" t="s">
        <v>130</v>
      </c>
      <c r="AI177" s="70"/>
      <c r="AJ177" s="39" t="s">
        <v>131</v>
      </c>
      <c r="AL177" s="121">
        <f>IF(AND(ISBLANK(C177),ISBLANK(F177)),1,2)</f>
        <v>1</v>
      </c>
      <c r="AM177" s="121">
        <f>IF(ISBLANK(C177),1,2)</f>
        <v>1</v>
      </c>
      <c r="AN177" s="121">
        <f>IF(AND(LEN(C177)&gt;0,LEN(F177)&gt;0),4,1)</f>
        <v>1</v>
      </c>
      <c r="AO177" s="121">
        <f>IF(ISBLANK(AF177),1,2)</f>
        <v>1</v>
      </c>
      <c r="AP177" s="121">
        <f>IF(ISBLANK(AI177),1,2)</f>
        <v>1</v>
      </c>
      <c r="AQ177" s="121">
        <f>SUM(AO177:AP177)</f>
        <v>2</v>
      </c>
      <c r="AR177" s="4"/>
    </row>
    <row r="178" spans="2:44" ht="4.95" customHeight="1" x14ac:dyDescent="0.3"/>
    <row r="179" spans="2:44" ht="15" customHeight="1" x14ac:dyDescent="0.3">
      <c r="C179" s="70"/>
      <c r="D179" s="39" t="s">
        <v>130</v>
      </c>
      <c r="F179" s="70"/>
      <c r="G179" s="39" t="s">
        <v>131</v>
      </c>
      <c r="I179" s="39" t="s">
        <v>406</v>
      </c>
      <c r="J179" s="4"/>
      <c r="K179" s="4"/>
      <c r="L179" s="4"/>
      <c r="AE179" s="2" t="s">
        <v>402</v>
      </c>
      <c r="AF179" s="70"/>
      <c r="AG179" s="39" t="s">
        <v>130</v>
      </c>
      <c r="AI179" s="70"/>
      <c r="AJ179" s="39" t="s">
        <v>131</v>
      </c>
      <c r="AL179" s="121">
        <f>IF(AND(ISBLANK(C179),ISBLANK(F179)),1,2)</f>
        <v>1</v>
      </c>
      <c r="AM179" s="121">
        <f>IF(ISBLANK(C179),1,2)</f>
        <v>1</v>
      </c>
      <c r="AN179" s="121">
        <f>IF(AND(LEN(C179)&gt;0,LEN(F179)&gt;0),4,1)</f>
        <v>1</v>
      </c>
      <c r="AO179" s="121">
        <f>IF(ISBLANK(AF179),1,2)</f>
        <v>1</v>
      </c>
      <c r="AP179" s="121">
        <f>IF(ISBLANK(AI179),1,2)</f>
        <v>1</v>
      </c>
      <c r="AQ179" s="121">
        <f>SUM(AO179:AP179)</f>
        <v>2</v>
      </c>
      <c r="AR179" s="4"/>
    </row>
    <row r="180" spans="2:44" ht="4.95" customHeight="1" x14ac:dyDescent="0.3"/>
    <row r="181" spans="2:44" ht="15" customHeight="1" x14ac:dyDescent="0.3">
      <c r="C181" s="70"/>
      <c r="D181" s="39" t="s">
        <v>130</v>
      </c>
      <c r="F181" s="70"/>
      <c r="G181" s="39" t="s">
        <v>131</v>
      </c>
      <c r="I181" s="39" t="s">
        <v>407</v>
      </c>
      <c r="J181" s="4"/>
      <c r="K181" s="4"/>
      <c r="L181" s="4"/>
      <c r="AE181" s="2" t="s">
        <v>402</v>
      </c>
      <c r="AF181" s="70"/>
      <c r="AG181" s="39" t="s">
        <v>130</v>
      </c>
      <c r="AI181" s="70"/>
      <c r="AJ181" s="39" t="s">
        <v>131</v>
      </c>
      <c r="AL181" s="121">
        <f>IF(AND(ISBLANK(C181),ISBLANK(F181)),1,2)</f>
        <v>1</v>
      </c>
      <c r="AM181" s="121">
        <f>IF(ISBLANK(C181),1,2)</f>
        <v>1</v>
      </c>
      <c r="AN181" s="121">
        <f>IF(AND(LEN(C181)&gt;0,LEN(F181)&gt;0),4,1)</f>
        <v>1</v>
      </c>
      <c r="AO181" s="121">
        <f>IF(ISBLANK(AF181),1,2)</f>
        <v>1</v>
      </c>
      <c r="AP181" s="121">
        <f>IF(ISBLANK(AI181),1,2)</f>
        <v>1</v>
      </c>
      <c r="AQ181" s="121">
        <f>SUM(AO181:AP181)</f>
        <v>2</v>
      </c>
      <c r="AR181" s="4"/>
    </row>
    <row r="182" spans="2:44" ht="4.95" customHeight="1" x14ac:dyDescent="0.3"/>
    <row r="183" spans="2:44" ht="15" customHeight="1" x14ac:dyDescent="0.3">
      <c r="C183" s="70"/>
      <c r="D183" s="39" t="s">
        <v>130</v>
      </c>
      <c r="F183" s="70"/>
      <c r="G183" s="39" t="s">
        <v>131</v>
      </c>
      <c r="I183" s="39" t="s">
        <v>408</v>
      </c>
      <c r="J183" s="4"/>
      <c r="K183" s="4"/>
      <c r="L183" s="4"/>
      <c r="AE183" s="2" t="s">
        <v>402</v>
      </c>
      <c r="AF183" s="70"/>
      <c r="AG183" s="39" t="s">
        <v>130</v>
      </c>
      <c r="AI183" s="70"/>
      <c r="AJ183" s="39" t="s">
        <v>131</v>
      </c>
      <c r="AL183" s="121">
        <f>IF(AND(ISBLANK(C183),ISBLANK(F183)),1,2)</f>
        <v>1</v>
      </c>
      <c r="AM183" s="121">
        <f>IF(ISBLANK(C183),1,2)</f>
        <v>1</v>
      </c>
      <c r="AN183" s="121">
        <f>IF(AND(LEN(C183)&gt;0,LEN(F183)&gt;0),4,1)</f>
        <v>1</v>
      </c>
      <c r="AO183" s="121">
        <f>IF(ISBLANK(AF183),1,2)</f>
        <v>1</v>
      </c>
      <c r="AP183" s="121">
        <f>IF(ISBLANK(AI183),1,2)</f>
        <v>1</v>
      </c>
      <c r="AQ183" s="121">
        <f>SUM(AO183:AP183)</f>
        <v>2</v>
      </c>
      <c r="AR183" s="4"/>
    </row>
    <row r="184" spans="2:44" ht="4.95" customHeight="1" x14ac:dyDescent="0.3"/>
    <row r="185" spans="2:44" ht="15" customHeight="1" x14ac:dyDescent="0.3">
      <c r="C185" s="70"/>
      <c r="D185" s="39" t="s">
        <v>130</v>
      </c>
      <c r="F185" s="70"/>
      <c r="G185" s="39" t="s">
        <v>131</v>
      </c>
      <c r="I185" s="39" t="s">
        <v>409</v>
      </c>
      <c r="J185" s="4"/>
      <c r="K185" s="4"/>
      <c r="L185" s="4"/>
      <c r="AE185" s="2" t="s">
        <v>402</v>
      </c>
      <c r="AF185" s="70"/>
      <c r="AG185" s="39" t="s">
        <v>130</v>
      </c>
      <c r="AI185" s="70"/>
      <c r="AJ185" s="39" t="s">
        <v>131</v>
      </c>
      <c r="AL185" s="121">
        <f>IF(AND(ISBLANK(C185),ISBLANK(F185)),1,2)</f>
        <v>1</v>
      </c>
      <c r="AM185" s="121">
        <f>IF(ISBLANK(C185),1,2)</f>
        <v>1</v>
      </c>
      <c r="AN185" s="121">
        <f>IF(AND(LEN(C185)&gt;0,LEN(F185)&gt;0),4,1)</f>
        <v>1</v>
      </c>
      <c r="AO185" s="121">
        <f>IF(ISBLANK(AF185),1,2)</f>
        <v>1</v>
      </c>
      <c r="AP185" s="121">
        <f>IF(ISBLANK(AI185),1,2)</f>
        <v>1</v>
      </c>
      <c r="AQ185" s="121">
        <f>SUM(AO185:AP185)</f>
        <v>2</v>
      </c>
      <c r="AR185" s="4"/>
    </row>
    <row r="186" spans="2:44" ht="4.95" customHeight="1" x14ac:dyDescent="0.3"/>
    <row r="187" spans="2:44" ht="15" customHeight="1" x14ac:dyDescent="0.3">
      <c r="C187" s="70"/>
      <c r="D187" s="39" t="s">
        <v>130</v>
      </c>
      <c r="F187" s="70"/>
      <c r="G187" s="39" t="s">
        <v>131</v>
      </c>
      <c r="I187" s="39" t="s">
        <v>410</v>
      </c>
      <c r="J187" s="4"/>
      <c r="K187" s="4"/>
      <c r="L187" s="4"/>
      <c r="AE187" s="2" t="s">
        <v>402</v>
      </c>
      <c r="AF187" s="70"/>
      <c r="AG187" s="39" t="s">
        <v>130</v>
      </c>
      <c r="AI187" s="70"/>
      <c r="AJ187" s="39" t="s">
        <v>131</v>
      </c>
      <c r="AL187" s="121">
        <f>IF(AND(ISBLANK(C187),ISBLANK(F187)),1,2)</f>
        <v>1</v>
      </c>
      <c r="AM187" s="121">
        <f>IF(ISBLANK(C187),1,2)</f>
        <v>1</v>
      </c>
      <c r="AN187" s="121">
        <f>IF(AND(LEN(C187)&gt;0,LEN(F187)&gt;0),4,1)</f>
        <v>1</v>
      </c>
      <c r="AO187" s="121">
        <f>IF(ISBLANK(AF187),1,2)</f>
        <v>1</v>
      </c>
      <c r="AP187" s="121">
        <f>IF(ISBLANK(AI187),1,2)</f>
        <v>1</v>
      </c>
      <c r="AQ187" s="121">
        <f>SUM(AO187:AP187)</f>
        <v>2</v>
      </c>
      <c r="AR187" s="4"/>
    </row>
    <row r="188" spans="2:44" ht="4.95" customHeight="1" x14ac:dyDescent="0.3"/>
    <row r="189" spans="2:44" ht="15" customHeight="1" x14ac:dyDescent="0.3">
      <c r="C189" s="70"/>
      <c r="D189" s="39" t="s">
        <v>130</v>
      </c>
      <c r="F189" s="70"/>
      <c r="G189" s="39" t="s">
        <v>131</v>
      </c>
      <c r="I189" s="39" t="s">
        <v>411</v>
      </c>
      <c r="J189" s="4"/>
      <c r="K189" s="4"/>
      <c r="L189" s="164"/>
      <c r="M189" s="164"/>
      <c r="N189" s="164"/>
      <c r="O189" s="164"/>
      <c r="P189" s="164"/>
      <c r="Q189" s="164"/>
      <c r="R189" s="164"/>
      <c r="S189" s="164"/>
      <c r="T189" s="164"/>
      <c r="AE189" s="2" t="s">
        <v>402</v>
      </c>
      <c r="AF189" s="70"/>
      <c r="AG189" s="39" t="s">
        <v>130</v>
      </c>
      <c r="AI189" s="70"/>
      <c r="AJ189" s="39" t="s">
        <v>131</v>
      </c>
      <c r="AL189" s="121">
        <f>IF(AND(ISBLANK(C189),ISBLANK(F189)),1,2)</f>
        <v>1</v>
      </c>
      <c r="AM189" s="121">
        <f>IF(ISBLANK(C189),1,2)</f>
        <v>1</v>
      </c>
      <c r="AN189" s="121">
        <f>IF(AND(LEN(C189)&gt;0,LEN(F189)&gt;0),4,1)</f>
        <v>1</v>
      </c>
      <c r="AO189" s="121">
        <f>IF(ISBLANK(AF189),1,2)</f>
        <v>1</v>
      </c>
      <c r="AP189" s="121">
        <f>IF(ISBLANK(AI189),1,2)</f>
        <v>1</v>
      </c>
      <c r="AQ189" s="121">
        <f>SUM(AO189:AP189)</f>
        <v>2</v>
      </c>
      <c r="AR189" s="4"/>
    </row>
    <row r="190" spans="2:44" ht="15" customHeight="1" x14ac:dyDescent="0.3"/>
    <row r="191" spans="2:44" ht="15" customHeight="1" x14ac:dyDescent="0.3">
      <c r="B191" s="51" t="s">
        <v>89</v>
      </c>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3"/>
      <c r="AL191" s="13" t="s">
        <v>360</v>
      </c>
    </row>
    <row r="192" spans="2:44" ht="15" customHeight="1" x14ac:dyDescent="0.3">
      <c r="B192" s="54"/>
      <c r="C192" s="8"/>
      <c r="D192" s="8"/>
      <c r="E192" s="8"/>
      <c r="F192" s="8"/>
      <c r="G192" s="8"/>
      <c r="H192" s="8"/>
      <c r="I192" s="8"/>
      <c r="J192" s="55" t="s">
        <v>90</v>
      </c>
      <c r="K192" s="55"/>
      <c r="L192" s="56" t="s">
        <v>199</v>
      </c>
      <c r="M192" s="55"/>
      <c r="N192" s="55"/>
      <c r="O192" s="55"/>
      <c r="P192" s="56"/>
      <c r="Q192" s="8"/>
      <c r="R192" s="8"/>
      <c r="S192" s="8"/>
      <c r="T192" s="8"/>
      <c r="U192" s="8"/>
      <c r="V192" s="8"/>
      <c r="W192" s="8"/>
      <c r="X192" s="8"/>
      <c r="Y192" s="8"/>
      <c r="Z192" s="8"/>
      <c r="AA192" s="8"/>
      <c r="AB192" s="8"/>
      <c r="AC192" s="8"/>
      <c r="AD192" s="8"/>
      <c r="AE192" s="8"/>
      <c r="AF192" s="8"/>
      <c r="AG192" s="8"/>
      <c r="AH192" s="8"/>
      <c r="AI192" s="8"/>
      <c r="AJ192" s="57"/>
      <c r="AL192" s="121">
        <f>SUM(AL193:AL210)</f>
        <v>14</v>
      </c>
    </row>
    <row r="193" spans="2:38" ht="15" customHeight="1" x14ac:dyDescent="0.3">
      <c r="B193" s="54"/>
      <c r="C193" s="8"/>
      <c r="D193" s="8"/>
      <c r="E193" s="8"/>
      <c r="F193" s="8"/>
      <c r="G193" s="8"/>
      <c r="H193" s="8"/>
      <c r="I193" s="8"/>
      <c r="J193" s="9" t="s">
        <v>91</v>
      </c>
      <c r="K193" s="9"/>
      <c r="L193" s="8" t="str">
        <f>IF(AND(AL34&lt;6,AM34=6),Tables!G2,IF(AND(AL34=6,AM34=6),"",Tables!G2))</f>
        <v>Pre Total not compeleted</v>
      </c>
      <c r="M193" s="9"/>
      <c r="N193" s="9"/>
      <c r="O193" s="9"/>
      <c r="P193" s="8"/>
      <c r="Q193" s="8"/>
      <c r="R193" s="8"/>
      <c r="S193" s="8"/>
      <c r="T193" s="8"/>
      <c r="U193" s="8"/>
      <c r="V193" s="8"/>
      <c r="W193" s="8"/>
      <c r="X193" s="8"/>
      <c r="Y193" s="8"/>
      <c r="Z193" s="8"/>
      <c r="AA193" s="8"/>
      <c r="AB193" s="8"/>
      <c r="AC193" s="8"/>
      <c r="AD193" s="8"/>
      <c r="AE193" s="8"/>
      <c r="AF193" s="8"/>
      <c r="AG193" s="8"/>
      <c r="AH193" s="8"/>
      <c r="AI193" s="8"/>
      <c r="AJ193" s="57"/>
      <c r="AL193" s="121">
        <f>IF(L193="",0,1)</f>
        <v>1</v>
      </c>
    </row>
    <row r="194" spans="2:38" ht="15" customHeight="1" x14ac:dyDescent="0.3">
      <c r="B194" s="54"/>
      <c r="C194" s="8"/>
      <c r="D194" s="8"/>
      <c r="E194" s="8"/>
      <c r="F194" s="8"/>
      <c r="G194" s="8"/>
      <c r="H194" s="8"/>
      <c r="I194" s="8"/>
      <c r="J194" s="9" t="s">
        <v>92</v>
      </c>
      <c r="K194" s="9"/>
      <c r="L194" s="8" t="str">
        <f>IF(AND(AL47&lt;6,AM47=6),Tables!G3,IF(AND(AL47=6,AM47=6),"",Tables!G3))</f>
        <v>Post Total not completed</v>
      </c>
      <c r="M194" s="9"/>
      <c r="N194" s="9"/>
      <c r="O194" s="9"/>
      <c r="P194" s="8"/>
      <c r="Q194" s="8"/>
      <c r="R194" s="8"/>
      <c r="S194" s="8"/>
      <c r="T194" s="8"/>
      <c r="U194" s="8"/>
      <c r="V194" s="8"/>
      <c r="W194" s="8"/>
      <c r="X194" s="8"/>
      <c r="Y194" s="8"/>
      <c r="Z194" s="8"/>
      <c r="AA194" s="8"/>
      <c r="AB194" s="8"/>
      <c r="AC194" s="8"/>
      <c r="AD194" s="8"/>
      <c r="AE194" s="8"/>
      <c r="AF194" s="8"/>
      <c r="AG194" s="8"/>
      <c r="AH194" s="8"/>
      <c r="AI194" s="8"/>
      <c r="AJ194" s="57"/>
      <c r="AL194" s="121">
        <f t="shared" ref="AL194:AL210" si="13">IF(L194="",0,1)</f>
        <v>1</v>
      </c>
    </row>
    <row r="195" spans="2:38" ht="15" customHeight="1" x14ac:dyDescent="0.3">
      <c r="B195" s="54"/>
      <c r="C195" s="8"/>
      <c r="D195" s="8"/>
      <c r="E195" s="8"/>
      <c r="F195" s="8"/>
      <c r="G195" s="8"/>
      <c r="H195" s="8"/>
      <c r="I195" s="8"/>
      <c r="J195" s="9"/>
      <c r="K195" s="9"/>
      <c r="L195" s="8" t="str">
        <f>IF(AND(AL56=1,AN56=1),Tables!G17,IF(OR(AM56=2,AO56=2),Tables!G17,""))</f>
        <v>Have post-construction CNs been adjusted to account for mass grading?</v>
      </c>
      <c r="M195" s="9"/>
      <c r="N195" s="9"/>
      <c r="O195" s="9"/>
      <c r="P195" s="8"/>
      <c r="Q195" s="8"/>
      <c r="R195" s="8"/>
      <c r="S195" s="8"/>
      <c r="T195" s="8"/>
      <c r="U195" s="8"/>
      <c r="V195" s="8"/>
      <c r="W195" s="8"/>
      <c r="X195" s="8"/>
      <c r="Y195" s="8"/>
      <c r="Z195" s="8"/>
      <c r="AA195" s="8"/>
      <c r="AB195" s="8"/>
      <c r="AC195" s="8"/>
      <c r="AD195" s="8"/>
      <c r="AE195" s="8"/>
      <c r="AF195" s="8"/>
      <c r="AG195" s="8"/>
      <c r="AH195" s="8"/>
      <c r="AI195" s="8"/>
      <c r="AJ195" s="57"/>
      <c r="AL195" s="121">
        <f t="shared" si="13"/>
        <v>1</v>
      </c>
    </row>
    <row r="196" spans="2:38" ht="15" customHeight="1" x14ac:dyDescent="0.3">
      <c r="B196" s="54"/>
      <c r="C196" s="8"/>
      <c r="D196" s="104"/>
      <c r="E196" s="8"/>
      <c r="F196" s="8"/>
      <c r="G196" s="8"/>
      <c r="H196" s="8"/>
      <c r="I196" s="8"/>
      <c r="J196" s="124" t="s">
        <v>296</v>
      </c>
      <c r="K196" s="9"/>
      <c r="L196" s="8"/>
      <c r="M196" s="9"/>
      <c r="N196" s="9"/>
      <c r="O196" s="9"/>
      <c r="P196" s="8"/>
      <c r="Q196" s="8"/>
      <c r="R196" s="8"/>
      <c r="S196" s="8"/>
      <c r="T196" s="8"/>
      <c r="U196" s="8"/>
      <c r="V196" s="8"/>
      <c r="W196" s="8"/>
      <c r="X196" s="8"/>
      <c r="Y196" s="8"/>
      <c r="Z196" s="8"/>
      <c r="AA196" s="8"/>
      <c r="AB196" s="8"/>
      <c r="AC196" s="8"/>
      <c r="AD196" s="8"/>
      <c r="AE196" s="8"/>
      <c r="AF196" s="8"/>
      <c r="AG196" s="8"/>
      <c r="AH196" s="8"/>
      <c r="AI196" s="8"/>
      <c r="AJ196" s="57"/>
      <c r="AL196" s="121">
        <f t="shared" si="13"/>
        <v>0</v>
      </c>
    </row>
    <row r="197" spans="2:38" ht="15" customHeight="1" x14ac:dyDescent="0.3">
      <c r="B197" s="54"/>
      <c r="C197" s="8"/>
      <c r="D197" s="8"/>
      <c r="E197" s="8"/>
      <c r="F197" s="8"/>
      <c r="G197" s="8"/>
      <c r="H197" s="8"/>
      <c r="I197" s="8"/>
      <c r="J197" s="9" t="s">
        <v>300</v>
      </c>
      <c r="K197" s="9"/>
      <c r="L197" s="8" t="str">
        <f>IF(ISBLANK(H66),Tables!G11,(IF(H66&gt;5,Tables!G11,"")))</f>
        <v>Drainage area exceeds the recommended 5.0 acre maximum</v>
      </c>
      <c r="M197" s="9"/>
      <c r="N197" s="9"/>
      <c r="O197" s="9"/>
      <c r="P197" s="8"/>
      <c r="Q197" s="8"/>
      <c r="R197" s="8"/>
      <c r="S197" s="8"/>
      <c r="T197" s="8"/>
      <c r="U197" s="8"/>
      <c r="V197" s="8"/>
      <c r="W197" s="8"/>
      <c r="X197" s="8"/>
      <c r="Y197" s="8"/>
      <c r="Z197" s="8"/>
      <c r="AA197" s="8"/>
      <c r="AB197" s="8"/>
      <c r="AC197" s="8"/>
      <c r="AD197" s="8"/>
      <c r="AE197" s="8"/>
      <c r="AF197" s="8"/>
      <c r="AG197" s="8"/>
      <c r="AH197" s="8"/>
      <c r="AI197" s="8"/>
      <c r="AJ197" s="57"/>
      <c r="AL197" s="121">
        <f t="shared" si="13"/>
        <v>1</v>
      </c>
    </row>
    <row r="198" spans="2:38" ht="15" customHeight="1" x14ac:dyDescent="0.3">
      <c r="B198" s="54"/>
      <c r="C198" s="8"/>
      <c r="D198" s="8"/>
      <c r="E198" s="8"/>
      <c r="F198" s="8"/>
      <c r="G198" s="8"/>
      <c r="H198" s="8"/>
      <c r="I198" s="8"/>
      <c r="J198" s="9" t="s">
        <v>301</v>
      </c>
      <c r="K198" s="9"/>
      <c r="L198" s="8" t="str">
        <f>IF(ISBLANK(AC66),Tables!G12,IF(AC66&gt;5,Tables!G12,""))</f>
        <v>Land slope exceeds the recommended 5% maximum</v>
      </c>
      <c r="M198" s="9"/>
      <c r="N198" s="9"/>
      <c r="O198" s="9"/>
      <c r="P198" s="8"/>
      <c r="Q198" s="8"/>
      <c r="R198" s="8"/>
      <c r="S198" s="8"/>
      <c r="T198" s="8"/>
      <c r="U198" s="8"/>
      <c r="V198" s="8"/>
      <c r="W198" s="8"/>
      <c r="X198" s="8"/>
      <c r="Y198" s="8"/>
      <c r="Z198" s="8"/>
      <c r="AA198" s="8"/>
      <c r="AB198" s="8"/>
      <c r="AC198" s="8"/>
      <c r="AD198" s="8"/>
      <c r="AE198" s="8"/>
      <c r="AF198" s="8"/>
      <c r="AG198" s="8"/>
      <c r="AH198" s="8"/>
      <c r="AI198" s="8"/>
      <c r="AJ198" s="57"/>
      <c r="AL198" s="121">
        <f t="shared" si="13"/>
        <v>1</v>
      </c>
    </row>
    <row r="199" spans="2:38" ht="15" customHeight="1" x14ac:dyDescent="0.3">
      <c r="B199" s="54"/>
      <c r="C199" s="8"/>
      <c r="D199" s="8"/>
      <c r="E199" s="8"/>
      <c r="F199" s="8"/>
      <c r="G199" s="8"/>
      <c r="H199" s="8"/>
      <c r="I199" s="8"/>
      <c r="J199" s="9" t="s">
        <v>302</v>
      </c>
      <c r="K199" s="9"/>
      <c r="L199" s="8" t="str">
        <f>IF(ISBLANK(W91),Tables!G13,IF(W91&gt;96,Tables!G13,""))</f>
        <v>Drain time exceeds the recommended 96 hours</v>
      </c>
      <c r="M199" s="9"/>
      <c r="N199" s="9"/>
      <c r="O199" s="9"/>
      <c r="P199" s="8"/>
      <c r="Q199" s="8"/>
      <c r="R199" s="8"/>
      <c r="S199" s="8"/>
      <c r="T199" s="8"/>
      <c r="U199" s="8"/>
      <c r="V199" s="8"/>
      <c r="W199" s="8"/>
      <c r="X199" s="8"/>
      <c r="Y199" s="8"/>
      <c r="Z199" s="8"/>
      <c r="AA199" s="8"/>
      <c r="AB199" s="8"/>
      <c r="AC199" s="8"/>
      <c r="AD199" s="8"/>
      <c r="AE199" s="8"/>
      <c r="AF199" s="8"/>
      <c r="AG199" s="8"/>
      <c r="AH199" s="8"/>
      <c r="AI199" s="8"/>
      <c r="AJ199" s="57"/>
      <c r="AL199" s="121">
        <f t="shared" si="13"/>
        <v>1</v>
      </c>
    </row>
    <row r="200" spans="2:38" ht="15" customHeight="1" x14ac:dyDescent="0.3">
      <c r="B200" s="54"/>
      <c r="C200" s="8"/>
      <c r="D200" s="8"/>
      <c r="E200" s="8"/>
      <c r="F200" s="8"/>
      <c r="G200" s="8"/>
      <c r="H200" s="8"/>
      <c r="I200" s="8"/>
      <c r="J200" s="9" t="s">
        <v>303</v>
      </c>
      <c r="K200" s="9"/>
      <c r="L200" s="8" t="str">
        <f>IF(ISBLANK(W93),Tables!G14,IF(W93&gt;12,Tables!G14,""))</f>
        <v>Drain time exceeds the recommended 12 hours</v>
      </c>
      <c r="M200" s="9"/>
      <c r="N200" s="9"/>
      <c r="O200" s="9"/>
      <c r="P200" s="8"/>
      <c r="Q200" s="8"/>
      <c r="R200" s="8"/>
      <c r="S200" s="8"/>
      <c r="T200" s="8"/>
      <c r="U200" s="8"/>
      <c r="V200" s="8"/>
      <c r="W200" s="8"/>
      <c r="X200" s="8"/>
      <c r="Y200" s="8"/>
      <c r="Z200" s="8"/>
      <c r="AA200" s="8"/>
      <c r="AB200" s="8"/>
      <c r="AC200" s="8"/>
      <c r="AD200" s="8"/>
      <c r="AE200" s="8"/>
      <c r="AF200" s="8"/>
      <c r="AG200" s="8"/>
      <c r="AH200" s="8"/>
      <c r="AI200" s="8"/>
      <c r="AJ200" s="57"/>
      <c r="AL200" s="121">
        <f t="shared" si="13"/>
        <v>1</v>
      </c>
    </row>
    <row r="201" spans="2:38" ht="15" customHeight="1" x14ac:dyDescent="0.3">
      <c r="B201" s="54"/>
      <c r="C201" s="8"/>
      <c r="D201" s="8"/>
      <c r="E201" s="8"/>
      <c r="F201" s="8"/>
      <c r="G201" s="8"/>
      <c r="H201" s="8"/>
      <c r="I201" s="8"/>
      <c r="J201" s="9" t="s">
        <v>93</v>
      </c>
      <c r="K201" s="9"/>
      <c r="L201" s="8" t="str">
        <f>IF(AO93&gt;1,Tables!G4,IF(AO93=0,"",IF(AM95&lt;6,Tables!G4,"")))</f>
        <v>Emergency Spillway Section not completed</v>
      </c>
      <c r="M201" s="9"/>
      <c r="N201" s="9"/>
      <c r="O201" s="9"/>
      <c r="P201" s="8"/>
      <c r="Q201" s="8"/>
      <c r="R201" s="8"/>
      <c r="S201" s="8"/>
      <c r="T201" s="8"/>
      <c r="U201" s="8"/>
      <c r="V201" s="8"/>
      <c r="W201" s="8"/>
      <c r="X201" s="8"/>
      <c r="Y201" s="8"/>
      <c r="Z201" s="8"/>
      <c r="AA201" s="8"/>
      <c r="AB201" s="8"/>
      <c r="AC201" s="8"/>
      <c r="AD201" s="8"/>
      <c r="AE201" s="8"/>
      <c r="AF201" s="8"/>
      <c r="AG201" s="8"/>
      <c r="AH201" s="8"/>
      <c r="AI201" s="8"/>
      <c r="AJ201" s="57"/>
      <c r="AL201" s="121">
        <f t="shared" si="13"/>
        <v>1</v>
      </c>
    </row>
    <row r="202" spans="2:38" ht="15" customHeight="1" x14ac:dyDescent="0.3">
      <c r="B202" s="54"/>
      <c r="C202" s="8"/>
      <c r="D202" s="8"/>
      <c r="E202" s="8"/>
      <c r="F202" s="8"/>
      <c r="G202" s="8"/>
      <c r="H202" s="8"/>
      <c r="I202" s="8"/>
      <c r="J202" s="9" t="s">
        <v>117</v>
      </c>
      <c r="K202" s="9"/>
      <c r="L202" s="8" t="str">
        <f>IF(AM116&lt;2,Tables!G8,"")</f>
        <v>Latitude and/or Longitude not provided</v>
      </c>
      <c r="M202" s="9"/>
      <c r="N202" s="9"/>
      <c r="O202" s="9"/>
      <c r="P202" s="8"/>
      <c r="Q202" s="8"/>
      <c r="R202" s="8"/>
      <c r="S202" s="8"/>
      <c r="T202" s="8"/>
      <c r="U202" s="8"/>
      <c r="V202" s="8"/>
      <c r="W202" s="8"/>
      <c r="X202" s="8"/>
      <c r="Y202" s="8"/>
      <c r="Z202" s="8"/>
      <c r="AA202" s="8"/>
      <c r="AB202" s="8"/>
      <c r="AC202" s="8"/>
      <c r="AD202" s="8"/>
      <c r="AE202" s="8"/>
      <c r="AF202" s="8"/>
      <c r="AG202" s="8"/>
      <c r="AH202" s="8"/>
      <c r="AI202" s="8"/>
      <c r="AJ202" s="57"/>
      <c r="AL202" s="121">
        <f t="shared" si="13"/>
        <v>1</v>
      </c>
    </row>
    <row r="203" spans="2:38" ht="15" customHeight="1" x14ac:dyDescent="0.3">
      <c r="B203" s="54"/>
      <c r="C203" s="8"/>
      <c r="D203" s="8"/>
      <c r="E203" s="8"/>
      <c r="F203" s="8"/>
      <c r="G203" s="8"/>
      <c r="H203" s="8"/>
      <c r="I203" s="8"/>
      <c r="J203" s="9" t="s">
        <v>157</v>
      </c>
      <c r="K203" s="9"/>
      <c r="L203" s="8" t="str">
        <f>IF(AM113=2,Tables!G9,IF(AM112=1,"",Tables!G9))</f>
        <v>WQv Required &gt; WQv Provided</v>
      </c>
      <c r="M203" s="9"/>
      <c r="N203" s="9"/>
      <c r="O203" s="9"/>
      <c r="P203" s="8"/>
      <c r="Q203" s="8"/>
      <c r="R203" s="8"/>
      <c r="S203" s="8"/>
      <c r="T203" s="8"/>
      <c r="U203" s="8"/>
      <c r="V203" s="8"/>
      <c r="W203" s="8"/>
      <c r="X203" s="8"/>
      <c r="Y203" s="8"/>
      <c r="Z203" s="8"/>
      <c r="AA203" s="8"/>
      <c r="AB203" s="8"/>
      <c r="AC203" s="8"/>
      <c r="AD203" s="8"/>
      <c r="AE203" s="8"/>
      <c r="AF203" s="8"/>
      <c r="AG203" s="8"/>
      <c r="AH203" s="8"/>
      <c r="AI203" s="8"/>
      <c r="AJ203" s="57"/>
      <c r="AL203" s="121">
        <f t="shared" si="13"/>
        <v>1</v>
      </c>
    </row>
    <row r="204" spans="2:38" ht="15" customHeight="1" x14ac:dyDescent="0.3">
      <c r="B204" s="54"/>
      <c r="C204" s="8"/>
      <c r="D204" s="104"/>
      <c r="E204" s="8"/>
      <c r="F204" s="8"/>
      <c r="G204" s="8"/>
      <c r="H204" s="8"/>
      <c r="I204" s="8"/>
      <c r="J204" s="124" t="s">
        <v>297</v>
      </c>
      <c r="K204" s="9"/>
      <c r="L204" s="8"/>
      <c r="M204" s="9"/>
      <c r="N204" s="9"/>
      <c r="O204" s="9"/>
      <c r="P204" s="8"/>
      <c r="Q204" s="8"/>
      <c r="R204" s="8"/>
      <c r="S204" s="8"/>
      <c r="T204" s="8"/>
      <c r="U204" s="8"/>
      <c r="V204" s="8"/>
      <c r="W204" s="8"/>
      <c r="X204" s="8"/>
      <c r="Y204" s="8"/>
      <c r="Z204" s="8"/>
      <c r="AA204" s="8"/>
      <c r="AB204" s="8"/>
      <c r="AC204" s="8"/>
      <c r="AD204" s="8"/>
      <c r="AE204" s="8"/>
      <c r="AF204" s="8"/>
      <c r="AG204" s="8"/>
      <c r="AH204" s="8"/>
      <c r="AI204" s="8"/>
      <c r="AJ204" s="57"/>
      <c r="AL204" s="121">
        <f t="shared" si="13"/>
        <v>0</v>
      </c>
    </row>
    <row r="205" spans="2:38" ht="15" customHeight="1" x14ac:dyDescent="0.3">
      <c r="B205" s="54"/>
      <c r="C205" s="8"/>
      <c r="D205" s="8"/>
      <c r="E205" s="8"/>
      <c r="F205" s="8"/>
      <c r="G205" s="8"/>
      <c r="H205" s="8"/>
      <c r="I205" s="8"/>
      <c r="J205" s="9" t="s">
        <v>88</v>
      </c>
      <c r="K205" s="9"/>
      <c r="L205" s="8" t="str">
        <f>IF(AL120=0,"",Tables!G7)</f>
        <v>Max Stage for 2, 5, 10, and/or 25-year storm  &gt; Emergency Spillway Crest Elevation</v>
      </c>
      <c r="M205" s="9"/>
      <c r="N205" s="9"/>
      <c r="O205" s="9"/>
      <c r="P205" s="8"/>
      <c r="Q205" s="8"/>
      <c r="R205" s="8"/>
      <c r="S205" s="8"/>
      <c r="T205" s="8"/>
      <c r="U205" s="8"/>
      <c r="V205" s="8"/>
      <c r="W205" s="8"/>
      <c r="X205" s="8"/>
      <c r="Y205" s="8"/>
      <c r="Z205" s="8"/>
      <c r="AA205" s="8"/>
      <c r="AB205" s="8"/>
      <c r="AC205" s="8"/>
      <c r="AD205" s="8"/>
      <c r="AE205" s="8"/>
      <c r="AF205" s="8"/>
      <c r="AG205" s="8"/>
      <c r="AH205" s="8"/>
      <c r="AI205" s="8"/>
      <c r="AJ205" s="57"/>
      <c r="AL205" s="121">
        <f t="shared" si="13"/>
        <v>1</v>
      </c>
    </row>
    <row r="206" spans="2:38" ht="15" customHeight="1" x14ac:dyDescent="0.3">
      <c r="B206" s="54"/>
      <c r="C206" s="8"/>
      <c r="D206" s="8"/>
      <c r="E206" s="8"/>
      <c r="F206" s="8"/>
      <c r="G206" s="8"/>
      <c r="H206" s="8"/>
      <c r="I206" s="8"/>
      <c r="J206" s="9" t="s">
        <v>308</v>
      </c>
      <c r="K206" s="9"/>
      <c r="L206" s="8" t="str">
        <f>IF(AM120&gt;0,Tables!G6,"")</f>
        <v>Velocity &gt; 6 ft/s</v>
      </c>
      <c r="M206" s="9"/>
      <c r="N206" s="9"/>
      <c r="O206" s="9"/>
      <c r="P206" s="8"/>
      <c r="Q206" s="8"/>
      <c r="R206" s="8"/>
      <c r="S206" s="8"/>
      <c r="T206" s="8"/>
      <c r="U206" s="8"/>
      <c r="V206" s="8"/>
      <c r="W206" s="8"/>
      <c r="X206" s="8"/>
      <c r="Y206" s="8"/>
      <c r="Z206" s="8"/>
      <c r="AA206" s="8"/>
      <c r="AB206" s="8"/>
      <c r="AC206" s="8"/>
      <c r="AD206" s="8"/>
      <c r="AE206" s="8"/>
      <c r="AF206" s="8"/>
      <c r="AG206" s="8"/>
      <c r="AH206" s="8"/>
      <c r="AI206" s="8"/>
      <c r="AJ206" s="57"/>
      <c r="AL206" s="121">
        <f t="shared" si="13"/>
        <v>1</v>
      </c>
    </row>
    <row r="207" spans="2:38" ht="15" customHeight="1" x14ac:dyDescent="0.3">
      <c r="B207" s="54"/>
      <c r="C207" s="8"/>
      <c r="D207" s="8"/>
      <c r="E207" s="8"/>
      <c r="F207" s="8"/>
      <c r="G207" s="8"/>
      <c r="H207" s="8"/>
      <c r="I207" s="8"/>
      <c r="J207" s="9" t="s">
        <v>94</v>
      </c>
      <c r="K207" s="9"/>
      <c r="L207" s="8" t="str">
        <f>IF(OR(AN120&gt;0,AO120&gt;0),Tables!G5,"")</f>
        <v>Total Post Q &gt; Pre Q</v>
      </c>
      <c r="M207" s="9"/>
      <c r="N207" s="9"/>
      <c r="O207" s="9"/>
      <c r="P207" s="8"/>
      <c r="Q207" s="8"/>
      <c r="R207" s="8"/>
      <c r="S207" s="8"/>
      <c r="T207" s="8"/>
      <c r="U207" s="8"/>
      <c r="V207" s="8"/>
      <c r="W207" s="8"/>
      <c r="X207" s="8"/>
      <c r="Y207" s="8"/>
      <c r="Z207" s="8"/>
      <c r="AA207" s="8"/>
      <c r="AB207" s="8"/>
      <c r="AC207" s="8"/>
      <c r="AD207" s="8"/>
      <c r="AE207" s="8"/>
      <c r="AF207" s="8"/>
      <c r="AG207" s="8"/>
      <c r="AH207" s="8"/>
      <c r="AI207" s="8"/>
      <c r="AJ207" s="57"/>
      <c r="AL207" s="121">
        <f t="shared" si="13"/>
        <v>1</v>
      </c>
    </row>
    <row r="208" spans="2:38" ht="15" customHeight="1" x14ac:dyDescent="0.3">
      <c r="B208" s="54"/>
      <c r="C208" s="8"/>
      <c r="D208" s="8"/>
      <c r="E208" s="8"/>
      <c r="F208" s="8"/>
      <c r="G208" s="8"/>
      <c r="H208" s="8"/>
      <c r="I208" s="8"/>
      <c r="J208" s="9"/>
      <c r="K208" s="9"/>
      <c r="L208" s="8" t="str">
        <f>IF($AQ$120&gt;0,Tables!$G$15,"")</f>
        <v>Total Post Q is &lt; -0.50 ft3/s of Pre Q</v>
      </c>
      <c r="M208" s="9"/>
      <c r="N208" s="9"/>
      <c r="O208" s="9"/>
      <c r="P208" s="8"/>
      <c r="Q208" s="8"/>
      <c r="R208" s="8"/>
      <c r="S208" s="8"/>
      <c r="T208" s="8"/>
      <c r="U208" s="8"/>
      <c r="V208" s="8"/>
      <c r="W208" s="8"/>
      <c r="X208" s="8"/>
      <c r="Y208" s="8"/>
      <c r="Z208" s="8"/>
      <c r="AA208" s="8"/>
      <c r="AB208" s="8"/>
      <c r="AC208" s="8"/>
      <c r="AD208" s="8"/>
      <c r="AE208" s="8"/>
      <c r="AF208" s="8"/>
      <c r="AG208" s="8"/>
      <c r="AH208" s="8"/>
      <c r="AI208" s="8"/>
      <c r="AJ208" s="57"/>
      <c r="AL208" s="121">
        <f t="shared" si="13"/>
        <v>1</v>
      </c>
    </row>
    <row r="209" spans="2:38" ht="15" customHeight="1" x14ac:dyDescent="0.3">
      <c r="B209" s="54"/>
      <c r="C209" s="8"/>
      <c r="D209" s="8"/>
      <c r="E209" s="8"/>
      <c r="F209" s="8"/>
      <c r="G209" s="8"/>
      <c r="H209" s="8"/>
      <c r="I209" s="8"/>
      <c r="J209" s="9"/>
      <c r="K209" s="9"/>
      <c r="L209" s="8" t="str">
        <f>IF(AO153="Yes",IF(AND(ISBLANK(C153),ISBLANK(F153)),Tables!$G18,IF($AO$120&gt;0,Tables!$G18,"")),"")</f>
        <v/>
      </c>
      <c r="M209" s="9"/>
      <c r="N209" s="9"/>
      <c r="O209" s="9"/>
      <c r="P209" s="8"/>
      <c r="Q209" s="8"/>
      <c r="R209" s="8"/>
      <c r="S209" s="8"/>
      <c r="T209" s="8"/>
      <c r="U209" s="8"/>
      <c r="V209" s="8"/>
      <c r="W209" s="8"/>
      <c r="X209" s="8"/>
      <c r="Y209" s="8"/>
      <c r="Z209" s="8"/>
      <c r="AA209" s="8"/>
      <c r="AB209" s="8"/>
      <c r="AC209" s="8"/>
      <c r="AD209" s="8"/>
      <c r="AE209" s="8"/>
      <c r="AF209" s="8"/>
      <c r="AG209" s="8"/>
      <c r="AH209" s="8"/>
      <c r="AI209" s="8"/>
      <c r="AJ209" s="57"/>
      <c r="AL209" s="121">
        <f t="shared" si="13"/>
        <v>0</v>
      </c>
    </row>
    <row r="210" spans="2:38" ht="15" customHeight="1" x14ac:dyDescent="0.3">
      <c r="B210" s="58"/>
      <c r="C210" s="59"/>
      <c r="D210" s="59"/>
      <c r="E210" s="59"/>
      <c r="F210" s="59"/>
      <c r="G210" s="59"/>
      <c r="H210" s="59"/>
      <c r="I210" s="59"/>
      <c r="J210" s="60"/>
      <c r="K210" s="60"/>
      <c r="L210" s="59" t="str">
        <f>IF(AO155="Yes",IF(AND(ISBLANK(C155),ISBLANK(F155)),Tables!$G19,IF($AP$120&gt;0,Tables!$G19,"")),"")</f>
        <v/>
      </c>
      <c r="M210" s="60"/>
      <c r="N210" s="60"/>
      <c r="O210" s="60"/>
      <c r="P210" s="59"/>
      <c r="Q210" s="59"/>
      <c r="R210" s="59"/>
      <c r="S210" s="59"/>
      <c r="T210" s="59"/>
      <c r="U210" s="59"/>
      <c r="V210" s="59"/>
      <c r="W210" s="59"/>
      <c r="X210" s="59"/>
      <c r="Y210" s="59"/>
      <c r="Z210" s="59"/>
      <c r="AA210" s="59"/>
      <c r="AB210" s="59"/>
      <c r="AC210" s="59"/>
      <c r="AD210" s="59"/>
      <c r="AE210" s="59"/>
      <c r="AF210" s="59"/>
      <c r="AG210" s="59"/>
      <c r="AH210" s="59"/>
      <c r="AI210" s="59"/>
      <c r="AJ210" s="61"/>
      <c r="AL210" s="121">
        <f t="shared" si="13"/>
        <v>0</v>
      </c>
    </row>
    <row r="211" spans="2:38" ht="15" customHeight="1" x14ac:dyDescent="0.3">
      <c r="AK211" s="41"/>
    </row>
    <row r="212" spans="2:38" ht="15" customHeight="1" x14ac:dyDescent="0.3">
      <c r="B212" s="166">
        <f>Tables!$C$13</f>
        <v>45566</v>
      </c>
      <c r="C212" s="166"/>
      <c r="D212" s="166"/>
      <c r="E212" s="166"/>
      <c r="F212" s="166"/>
      <c r="G212" s="166"/>
      <c r="H212" s="166"/>
      <c r="R212" s="167" t="s">
        <v>293</v>
      </c>
      <c r="S212" s="167"/>
      <c r="T212" s="167"/>
      <c r="U212" s="167"/>
      <c r="AK212" s="41"/>
    </row>
    <row r="213" spans="2:38" ht="15" customHeight="1" x14ac:dyDescent="0.3"/>
    <row r="214" spans="2:38" ht="15" customHeight="1" x14ac:dyDescent="0.3"/>
    <row r="215" spans="2:38" ht="15" customHeight="1" x14ac:dyDescent="0.3"/>
  </sheetData>
  <sheetProtection algorithmName="SHA-512" hashValue="WXdJHYFkeGcZrLRmtxOhtRiY3kR/vPbTaOYPYMffH+LiBLEVYL16vP8mIVSv9wFbbq4ObLTqGB8c+rpmfwEyWw==" saltValue="onj4y3bEuLftdC+dBVk9sw==" spinCount="100000" sheet="1" objects="1" scenarios="1" selectLockedCells="1"/>
  <mergeCells count="343">
    <mergeCell ref="AP140:AQ140"/>
    <mergeCell ref="F142:Z142"/>
    <mergeCell ref="F143:Z143"/>
    <mergeCell ref="F144:Z144"/>
    <mergeCell ref="F145:L145"/>
    <mergeCell ref="P145:S145"/>
    <mergeCell ref="X145:Z145"/>
    <mergeCell ref="F146:Z146"/>
    <mergeCell ref="AD149:AH149"/>
    <mergeCell ref="B160:H160"/>
    <mergeCell ref="R160:U160"/>
    <mergeCell ref="F147:J147"/>
    <mergeCell ref="B129:AJ133"/>
    <mergeCell ref="AF98:AH98"/>
    <mergeCell ref="O117:R117"/>
    <mergeCell ref="W117:Z117"/>
    <mergeCell ref="C102:E102"/>
    <mergeCell ref="X102:Z102"/>
    <mergeCell ref="C108:E108"/>
    <mergeCell ref="C109:E109"/>
    <mergeCell ref="C110:E110"/>
    <mergeCell ref="C111:E111"/>
    <mergeCell ref="C101:E101"/>
    <mergeCell ref="C103:E103"/>
    <mergeCell ref="C104:E104"/>
    <mergeCell ref="C105:E105"/>
    <mergeCell ref="C106:E106"/>
    <mergeCell ref="C107:E107"/>
    <mergeCell ref="H108:J108"/>
    <mergeCell ref="H109:J109"/>
    <mergeCell ref="H110:J110"/>
    <mergeCell ref="AC111:AF111"/>
    <mergeCell ref="M111:P111"/>
    <mergeCell ref="H105:J105"/>
    <mergeCell ref="H106:J106"/>
    <mergeCell ref="S106:U106"/>
    <mergeCell ref="M102:P102"/>
    <mergeCell ref="M107:P107"/>
    <mergeCell ref="M108:P108"/>
    <mergeCell ref="M109:P109"/>
    <mergeCell ref="M73:O73"/>
    <mergeCell ref="R73:T73"/>
    <mergeCell ref="M103:P103"/>
    <mergeCell ref="M104:P104"/>
    <mergeCell ref="M105:P105"/>
    <mergeCell ref="M106:P106"/>
    <mergeCell ref="M76:O76"/>
    <mergeCell ref="M80:O80"/>
    <mergeCell ref="M75:P75"/>
    <mergeCell ref="M79:P79"/>
    <mergeCell ref="M82:P82"/>
    <mergeCell ref="W73:Y73"/>
    <mergeCell ref="W98:Y98"/>
    <mergeCell ref="H111:J111"/>
    <mergeCell ref="M77:O77"/>
    <mergeCell ref="M71:O71"/>
    <mergeCell ref="R71:T71"/>
    <mergeCell ref="R70:T70"/>
    <mergeCell ref="W70:Y70"/>
    <mergeCell ref="J27:M27"/>
    <mergeCell ref="L33:N33"/>
    <mergeCell ref="L32:N32"/>
    <mergeCell ref="L46:N46"/>
    <mergeCell ref="L45:N45"/>
    <mergeCell ref="L40:N40"/>
    <mergeCell ref="L39:N39"/>
    <mergeCell ref="L38:N38"/>
    <mergeCell ref="T51:V51"/>
    <mergeCell ref="X50:Z50"/>
    <mergeCell ref="P51:R51"/>
    <mergeCell ref="L51:N51"/>
    <mergeCell ref="L50:N50"/>
    <mergeCell ref="L49:N49"/>
    <mergeCell ref="L48:N48"/>
    <mergeCell ref="P32:R32"/>
    <mergeCell ref="T50:V50"/>
    <mergeCell ref="L64:N64"/>
    <mergeCell ref="T38:V38"/>
    <mergeCell ref="T39:V39"/>
    <mergeCell ref="AC66:AE66"/>
    <mergeCell ref="AB44:AD44"/>
    <mergeCell ref="AB39:AD39"/>
    <mergeCell ref="AB40:AD40"/>
    <mergeCell ref="T66:V66"/>
    <mergeCell ref="AB52:AD52"/>
    <mergeCell ref="AB53:AD53"/>
    <mergeCell ref="AB49:AD49"/>
    <mergeCell ref="X46:Z46"/>
    <mergeCell ref="X47:Z47"/>
    <mergeCell ref="X48:Z48"/>
    <mergeCell ref="AB48:AD48"/>
    <mergeCell ref="AB50:AD50"/>
    <mergeCell ref="AB51:AD51"/>
    <mergeCell ref="X51:Z51"/>
    <mergeCell ref="X52:Z52"/>
    <mergeCell ref="X53:Z53"/>
    <mergeCell ref="AB45:AD45"/>
    <mergeCell ref="AB46:AD46"/>
    <mergeCell ref="AB47:AD47"/>
    <mergeCell ref="W71:Y71"/>
    <mergeCell ref="M72:O72"/>
    <mergeCell ref="R72:T72"/>
    <mergeCell ref="W72:Y72"/>
    <mergeCell ref="B58:H58"/>
    <mergeCell ref="R58:U58"/>
    <mergeCell ref="D59:Y59"/>
    <mergeCell ref="P44:R44"/>
    <mergeCell ref="T44:V44"/>
    <mergeCell ref="L52:N52"/>
    <mergeCell ref="L44:N44"/>
    <mergeCell ref="F50:G50"/>
    <mergeCell ref="F51:G51"/>
    <mergeCell ref="F52:G52"/>
    <mergeCell ref="F53:G53"/>
    <mergeCell ref="P50:R50"/>
    <mergeCell ref="P52:R52"/>
    <mergeCell ref="L53:N53"/>
    <mergeCell ref="P53:R53"/>
    <mergeCell ref="T52:V52"/>
    <mergeCell ref="T53:V53"/>
    <mergeCell ref="X49:Z49"/>
    <mergeCell ref="H66:J66"/>
    <mergeCell ref="P68:T68"/>
    <mergeCell ref="E13:X13"/>
    <mergeCell ref="E14:X14"/>
    <mergeCell ref="AB31:AD31"/>
    <mergeCell ref="AF31:AH31"/>
    <mergeCell ref="P34:R34"/>
    <mergeCell ref="T32:V32"/>
    <mergeCell ref="L31:N31"/>
    <mergeCell ref="P31:R31"/>
    <mergeCell ref="L36:N36"/>
    <mergeCell ref="L35:N35"/>
    <mergeCell ref="L34:N34"/>
    <mergeCell ref="AF36:AH36"/>
    <mergeCell ref="T36:V36"/>
    <mergeCell ref="P33:R33"/>
    <mergeCell ref="T31:V31"/>
    <mergeCell ref="X31:Z31"/>
    <mergeCell ref="X35:Z35"/>
    <mergeCell ref="AB33:AD33"/>
    <mergeCell ref="T35:V35"/>
    <mergeCell ref="X33:Z33"/>
    <mergeCell ref="X34:Z34"/>
    <mergeCell ref="AA21:AD21"/>
    <mergeCell ref="W23:Z23"/>
    <mergeCell ref="F35:G35"/>
    <mergeCell ref="AF39:AH39"/>
    <mergeCell ref="AF40:AH40"/>
    <mergeCell ref="W26:Z26"/>
    <mergeCell ref="W27:Z27"/>
    <mergeCell ref="AB34:AD34"/>
    <mergeCell ref="AF37:AH37"/>
    <mergeCell ref="AF38:AH38"/>
    <mergeCell ref="X38:Z38"/>
    <mergeCell ref="X39:Z39"/>
    <mergeCell ref="X40:Z40"/>
    <mergeCell ref="J20:M20"/>
    <mergeCell ref="L37:N37"/>
    <mergeCell ref="J26:M26"/>
    <mergeCell ref="J22:M22"/>
    <mergeCell ref="J23:M23"/>
    <mergeCell ref="J24:M24"/>
    <mergeCell ref="J25:M25"/>
    <mergeCell ref="P35:R35"/>
    <mergeCell ref="P36:R36"/>
    <mergeCell ref="P37:R37"/>
    <mergeCell ref="L47:N47"/>
    <mergeCell ref="AB35:AD35"/>
    <mergeCell ref="AB36:AD36"/>
    <mergeCell ref="T40:V40"/>
    <mergeCell ref="X32:Z32"/>
    <mergeCell ref="AB37:AD37"/>
    <mergeCell ref="AB38:AD38"/>
    <mergeCell ref="T33:V33"/>
    <mergeCell ref="T34:V34"/>
    <mergeCell ref="X45:Z45"/>
    <mergeCell ref="F36:G36"/>
    <mergeCell ref="F37:G37"/>
    <mergeCell ref="F38:G38"/>
    <mergeCell ref="F39:G39"/>
    <mergeCell ref="F40:G40"/>
    <mergeCell ref="F48:G48"/>
    <mergeCell ref="F49:G49"/>
    <mergeCell ref="X44:Z44"/>
    <mergeCell ref="T45:V45"/>
    <mergeCell ref="T46:V46"/>
    <mergeCell ref="P45:R45"/>
    <mergeCell ref="P46:R46"/>
    <mergeCell ref="P47:R47"/>
    <mergeCell ref="P48:R48"/>
    <mergeCell ref="P49:R49"/>
    <mergeCell ref="T47:V47"/>
    <mergeCell ref="T48:V48"/>
    <mergeCell ref="T49:V49"/>
    <mergeCell ref="X36:Z36"/>
    <mergeCell ref="X37:Z37"/>
    <mergeCell ref="P38:R38"/>
    <mergeCell ref="P39:R39"/>
    <mergeCell ref="P40:R40"/>
    <mergeCell ref="T37:V37"/>
    <mergeCell ref="AC112:AF112"/>
    <mergeCell ref="S112:U112"/>
    <mergeCell ref="X110:Z110"/>
    <mergeCell ref="X111:Z111"/>
    <mergeCell ref="S107:U107"/>
    <mergeCell ref="S108:U108"/>
    <mergeCell ref="X107:Z107"/>
    <mergeCell ref="X108:Z108"/>
    <mergeCell ref="S111:U111"/>
    <mergeCell ref="AC102:AF102"/>
    <mergeCell ref="AC103:AF103"/>
    <mergeCell ref="AC104:AF104"/>
    <mergeCell ref="AC105:AF105"/>
    <mergeCell ref="AC106:AF106"/>
    <mergeCell ref="S109:U109"/>
    <mergeCell ref="S110:U110"/>
    <mergeCell ref="X109:Z109"/>
    <mergeCell ref="S103:U103"/>
    <mergeCell ref="S104:U104"/>
    <mergeCell ref="S105:U105"/>
    <mergeCell ref="X103:Z103"/>
    <mergeCell ref="X104:Z104"/>
    <mergeCell ref="X105:Z105"/>
    <mergeCell ref="AC108:AF108"/>
    <mergeCell ref="AC109:AF109"/>
    <mergeCell ref="AC110:AF110"/>
    <mergeCell ref="X106:Z106"/>
    <mergeCell ref="AC107:AF107"/>
    <mergeCell ref="S102:U102"/>
    <mergeCell ref="AE115:AJ115"/>
    <mergeCell ref="AE116:AJ116"/>
    <mergeCell ref="D115:Y115"/>
    <mergeCell ref="AG120:AJ120"/>
    <mergeCell ref="AG121:AI121"/>
    <mergeCell ref="AG122:AI122"/>
    <mergeCell ref="AG123:AI123"/>
    <mergeCell ref="AG124:AI124"/>
    <mergeCell ref="Q120:S120"/>
    <mergeCell ref="Q119:W119"/>
    <mergeCell ref="U120:W120"/>
    <mergeCell ref="U121:W121"/>
    <mergeCell ref="U122:W122"/>
    <mergeCell ref="U123:W123"/>
    <mergeCell ref="U124:W124"/>
    <mergeCell ref="M120:O120"/>
    <mergeCell ref="M121:O121"/>
    <mergeCell ref="M122:O122"/>
    <mergeCell ref="M123:O123"/>
    <mergeCell ref="AG125:AI125"/>
    <mergeCell ref="AG126:AI126"/>
    <mergeCell ref="AC120:AE120"/>
    <mergeCell ref="AC121:AE121"/>
    <mergeCell ref="AC122:AE122"/>
    <mergeCell ref="AC123:AE123"/>
    <mergeCell ref="AC124:AE124"/>
    <mergeCell ref="AC125:AE125"/>
    <mergeCell ref="Q121:S121"/>
    <mergeCell ref="Q122:S122"/>
    <mergeCell ref="Q123:S123"/>
    <mergeCell ref="Q124:S124"/>
    <mergeCell ref="Q125:S125"/>
    <mergeCell ref="Q126:S126"/>
    <mergeCell ref="AC126:AE126"/>
    <mergeCell ref="X120:AB120"/>
    <mergeCell ref="Y121:AA121"/>
    <mergeCell ref="Y122:AA122"/>
    <mergeCell ref="Y123:AA123"/>
    <mergeCell ref="Y124:AA124"/>
    <mergeCell ref="Y125:AA125"/>
    <mergeCell ref="Y126:AA126"/>
    <mergeCell ref="W86:Y86"/>
    <mergeCell ref="M125:O125"/>
    <mergeCell ref="M126:O126"/>
    <mergeCell ref="G121:H121"/>
    <mergeCell ref="G122:H122"/>
    <mergeCell ref="G123:H123"/>
    <mergeCell ref="G124:H124"/>
    <mergeCell ref="G125:H125"/>
    <mergeCell ref="G126:H126"/>
    <mergeCell ref="M124:O124"/>
    <mergeCell ref="U125:W125"/>
    <mergeCell ref="U126:W126"/>
    <mergeCell ref="B114:H114"/>
    <mergeCell ref="R114:U114"/>
    <mergeCell ref="H112:J112"/>
    <mergeCell ref="H103:J103"/>
    <mergeCell ref="H104:J104"/>
    <mergeCell ref="M110:P110"/>
    <mergeCell ref="H107:J107"/>
    <mergeCell ref="H102:J102"/>
    <mergeCell ref="F97:I97"/>
    <mergeCell ref="F98:I98"/>
    <mergeCell ref="O97:Q97"/>
    <mergeCell ref="O98:Q98"/>
    <mergeCell ref="BJ1:BZ4"/>
    <mergeCell ref="AF93:AH93"/>
    <mergeCell ref="AF84:AH84"/>
    <mergeCell ref="AF89:AH89"/>
    <mergeCell ref="AE60:AJ60"/>
    <mergeCell ref="AE59:AJ59"/>
    <mergeCell ref="AF88:AH88"/>
    <mergeCell ref="AE13:AJ13"/>
    <mergeCell ref="AE14:AJ14"/>
    <mergeCell ref="AF49:AH49"/>
    <mergeCell ref="AF53:AH53"/>
    <mergeCell ref="AF50:AH50"/>
    <mergeCell ref="AF51:AH51"/>
    <mergeCell ref="AF52:AH52"/>
    <mergeCell ref="AF48:AH48"/>
    <mergeCell ref="AF45:AH45"/>
    <mergeCell ref="AF46:AH46"/>
    <mergeCell ref="AF47:AH47"/>
    <mergeCell ref="T1:AK4"/>
    <mergeCell ref="AF32:AH32"/>
    <mergeCell ref="AF33:AH33"/>
    <mergeCell ref="AF34:AH34"/>
    <mergeCell ref="AF35:AH35"/>
    <mergeCell ref="AB32:AD32"/>
    <mergeCell ref="L189:T189"/>
    <mergeCell ref="D35:E40"/>
    <mergeCell ref="D48:E53"/>
    <mergeCell ref="B212:H212"/>
    <mergeCell ref="R212:U212"/>
    <mergeCell ref="AS6:BF7"/>
    <mergeCell ref="D161:Y161"/>
    <mergeCell ref="AE161:AJ161"/>
    <mergeCell ref="AE162:AJ162"/>
    <mergeCell ref="M91:O91"/>
    <mergeCell ref="M93:O93"/>
    <mergeCell ref="W76:Y76"/>
    <mergeCell ref="W77:Y77"/>
    <mergeCell ref="W80:Y80"/>
    <mergeCell ref="W82:Y82"/>
    <mergeCell ref="W84:Y84"/>
    <mergeCell ref="W88:Y88"/>
    <mergeCell ref="W89:Y89"/>
    <mergeCell ref="W91:Y91"/>
    <mergeCell ref="W93:Y93"/>
    <mergeCell ref="M84:O84"/>
    <mergeCell ref="M88:P88"/>
    <mergeCell ref="M89:O89"/>
    <mergeCell ref="M86:O86"/>
  </mergeCells>
  <phoneticPr fontId="24" type="noConversion"/>
  <conditionalFormatting sqref="B129:AJ133">
    <cfRule type="cellIs" priority="1236" stopIfTrue="1" operator="greaterThan">
      <formula>0</formula>
    </cfRule>
    <cfRule type="expression" dxfId="311" priority="1237">
      <formula>$AL$192&gt;1</formula>
    </cfRule>
  </conditionalFormatting>
  <conditionalFormatting sqref="C153 C155">
    <cfRule type="expression" dxfId="310" priority="89">
      <formula>$AM153=2</formula>
    </cfRule>
  </conditionalFormatting>
  <conditionalFormatting sqref="C165 F165">
    <cfRule type="expression" dxfId="309" priority="85">
      <formula>$AL165=1</formula>
    </cfRule>
  </conditionalFormatting>
  <conditionalFormatting sqref="C165">
    <cfRule type="expression" dxfId="308" priority="87">
      <formula>$AM165=2</formula>
    </cfRule>
  </conditionalFormatting>
  <conditionalFormatting sqref="C167 F167">
    <cfRule type="expression" dxfId="307" priority="86">
      <formula>$AM165=2</formula>
    </cfRule>
  </conditionalFormatting>
  <conditionalFormatting sqref="C171 F171">
    <cfRule type="expression" dxfId="306" priority="12">
      <formula>$AN171=4</formula>
    </cfRule>
    <cfRule type="expression" dxfId="305" priority="14">
      <formula>$AL171=1</formula>
    </cfRule>
  </conditionalFormatting>
  <conditionalFormatting sqref="C171">
    <cfRule type="expression" dxfId="304" priority="15">
      <formula>$AM171=2</formula>
    </cfRule>
  </conditionalFormatting>
  <conditionalFormatting sqref="C173 C175 C177 C179 C181 C183 C185 C187 C189">
    <cfRule type="expression" dxfId="303" priority="11">
      <formula>$AM173=2</formula>
    </cfRule>
  </conditionalFormatting>
  <conditionalFormatting sqref="C173 F173 C175 F175 C177 F177 C179 F179 C181 F181 C183 F183 C185 F185 C187 F187 C189 F189">
    <cfRule type="expression" dxfId="302" priority="10">
      <formula>$AL173=1</formula>
    </cfRule>
    <cfRule type="expression" dxfId="301" priority="9">
      <formula>$AN173=4</formula>
    </cfRule>
  </conditionalFormatting>
  <conditionalFormatting sqref="C102:E102">
    <cfRule type="expression" dxfId="300" priority="122">
      <formula>ISBLANK($C$102)</formula>
    </cfRule>
  </conditionalFormatting>
  <conditionalFormatting sqref="D161 AE161:AE162">
    <cfRule type="cellIs" dxfId="299" priority="125" operator="equal">
      <formula>0</formula>
    </cfRule>
  </conditionalFormatting>
  <conditionalFormatting sqref="E13:E14 AE13:AE14 AF35:AF40 AF48:AF53 AC112 Q121:Q126">
    <cfRule type="expression" dxfId="298" priority="429">
      <formula>ISBLANK(E13)</formula>
    </cfRule>
  </conditionalFormatting>
  <conditionalFormatting sqref="F16 N16 W16">
    <cfRule type="expression" dxfId="297" priority="404">
      <formula>ISBLANK(F16)</formula>
    </cfRule>
  </conditionalFormatting>
  <conditionalFormatting sqref="F18 N18 W18">
    <cfRule type="expression" dxfId="296" priority="285">
      <formula>ISBLANK(F18)</formula>
    </cfRule>
  </conditionalFormatting>
  <conditionalFormatting sqref="F142:F143">
    <cfRule type="expression" dxfId="295" priority="112">
      <formula>ISBLANK(F142)</formula>
    </cfRule>
  </conditionalFormatting>
  <conditionalFormatting sqref="F145:F147">
    <cfRule type="expression" dxfId="294" priority="107">
      <formula>ISBLANK(F145)</formula>
    </cfRule>
  </conditionalFormatting>
  <conditionalFormatting sqref="F157 C153 F153 C155 F155 C157">
    <cfRule type="expression" dxfId="293" priority="88">
      <formula>$AL153=1</formula>
    </cfRule>
  </conditionalFormatting>
  <conditionalFormatting sqref="F157">
    <cfRule type="expression" dxfId="292" priority="22">
      <formula>$AM$157=2</formula>
    </cfRule>
  </conditionalFormatting>
  <conditionalFormatting sqref="F167 C167">
    <cfRule type="expression" priority="84" stopIfTrue="1">
      <formula>$AN$167=3</formula>
    </cfRule>
  </conditionalFormatting>
  <conditionalFormatting sqref="F167">
    <cfRule type="expression" dxfId="291" priority="83" stopIfTrue="1">
      <formula>$AM$167=2</formula>
    </cfRule>
  </conditionalFormatting>
  <conditionalFormatting sqref="F97:I98 O97:Q98 W98:Y98 AF98:AH98">
    <cfRule type="cellIs" priority="207" stopIfTrue="1" operator="greaterThan">
      <formula>0</formula>
    </cfRule>
    <cfRule type="expression" dxfId="290" priority="1147">
      <formula>$AO$91=2</formula>
    </cfRule>
  </conditionalFormatting>
  <conditionalFormatting sqref="F144:Z144">
    <cfRule type="expression" dxfId="289" priority="110">
      <formula>ISBLANK(F144)</formula>
    </cfRule>
  </conditionalFormatting>
  <conditionalFormatting sqref="H68 K68">
    <cfRule type="expression" dxfId="288" priority="178">
      <formula>$AL$68=1</formula>
    </cfRule>
    <cfRule type="cellIs" priority="177" stopIfTrue="1" operator="greaterThan">
      <formula>0</formula>
    </cfRule>
  </conditionalFormatting>
  <conditionalFormatting sqref="H102 M102">
    <cfRule type="expression" dxfId="287" priority="358">
      <formula>$AL$102=2</formula>
    </cfRule>
  </conditionalFormatting>
  <conditionalFormatting sqref="H102:H111 M102:M111">
    <cfRule type="cellIs" priority="296" stopIfTrue="1" operator="greaterThan">
      <formula>0</formula>
    </cfRule>
  </conditionalFormatting>
  <conditionalFormatting sqref="H66:J66 T66:V66 AC66:AE66">
    <cfRule type="expression" dxfId="286" priority="174">
      <formula>ISBLANK(H66)</formula>
    </cfRule>
  </conditionalFormatting>
  <conditionalFormatting sqref="H66:J66">
    <cfRule type="cellIs" dxfId="285" priority="126" operator="greaterThan">
      <formula>5</formula>
    </cfRule>
  </conditionalFormatting>
  <conditionalFormatting sqref="H102:J102">
    <cfRule type="expression" priority="121" stopIfTrue="1">
      <formula>$AN$102=2</formula>
    </cfRule>
  </conditionalFormatting>
  <conditionalFormatting sqref="J20">
    <cfRule type="expression" dxfId="284" priority="422">
      <formula>ISBLANK(J20)</formula>
    </cfRule>
  </conditionalFormatting>
  <conditionalFormatting sqref="J22:J26">
    <cfRule type="expression" dxfId="283" priority="420">
      <formula>ISBLANK(J22)</formula>
    </cfRule>
  </conditionalFormatting>
  <conditionalFormatting sqref="J27 D59 AE59:AE60 H112 K112 D115 AE115:AE116">
    <cfRule type="cellIs" dxfId="282" priority="410" operator="equal">
      <formula>0</formula>
    </cfRule>
  </conditionalFormatting>
  <conditionalFormatting sqref="J62 M62 P62 S62">
    <cfRule type="expression" dxfId="281" priority="1140">
      <formula>$AL$62=1</formula>
    </cfRule>
    <cfRule type="expression" priority="1139" stopIfTrue="1">
      <formula>$AL$62=2</formula>
    </cfRule>
  </conditionalFormatting>
  <conditionalFormatting sqref="K56 N56">
    <cfRule type="expression" dxfId="280" priority="96">
      <formula>$AL56=1</formula>
    </cfRule>
    <cfRule type="expression" priority="95">
      <formula>$AL56=2</formula>
    </cfRule>
  </conditionalFormatting>
  <conditionalFormatting sqref="K56">
    <cfRule type="expression" dxfId="279" priority="92">
      <formula>$AM56=2</formula>
    </cfRule>
  </conditionalFormatting>
  <conditionalFormatting sqref="K95 N95">
    <cfRule type="expression" dxfId="278" priority="210">
      <formula>$AO$95=1</formula>
    </cfRule>
    <cfRule type="cellIs" priority="209" stopIfTrue="1" operator="greaterThan">
      <formula>0</formula>
    </cfRule>
  </conditionalFormatting>
  <conditionalFormatting sqref="K103 H103 M103">
    <cfRule type="expression" dxfId="277" priority="356">
      <formula>$AL$103=2</formula>
    </cfRule>
  </conditionalFormatting>
  <conditionalFormatting sqref="K103:K111">
    <cfRule type="cellIs" priority="339" stopIfTrue="1" operator="greaterThan">
      <formula>0</formula>
    </cfRule>
  </conditionalFormatting>
  <conditionalFormatting sqref="K104 H104 M104">
    <cfRule type="expression" dxfId="276" priority="354">
      <formula>$AL$104=2</formula>
    </cfRule>
  </conditionalFormatting>
  <conditionalFormatting sqref="K105 H105 M105">
    <cfRule type="expression" dxfId="275" priority="352">
      <formula>$AL$105=2</formula>
    </cfRule>
  </conditionalFormatting>
  <conditionalFormatting sqref="K106 H106 M106">
    <cfRule type="expression" dxfId="274" priority="350">
      <formula>$AL$106=2</formula>
    </cfRule>
  </conditionalFormatting>
  <conditionalFormatting sqref="K107 H107 M107">
    <cfRule type="expression" dxfId="273" priority="348">
      <formula>$AL$107=2</formula>
    </cfRule>
  </conditionalFormatting>
  <conditionalFormatting sqref="K108 H108 M108">
    <cfRule type="expression" dxfId="272" priority="346">
      <formula>$AL$108=2</formula>
    </cfRule>
  </conditionalFormatting>
  <conditionalFormatting sqref="K109 H109 M109">
    <cfRule type="expression" dxfId="271" priority="344">
      <formula>$AL$109=2</formula>
    </cfRule>
  </conditionalFormatting>
  <conditionalFormatting sqref="K110 H110 M110">
    <cfRule type="expression" dxfId="270" priority="342">
      <formula>$AL$110=2</formula>
    </cfRule>
  </conditionalFormatting>
  <conditionalFormatting sqref="K111 H111 M111">
    <cfRule type="expression" dxfId="269" priority="340">
      <formula>$AL$111=2</formula>
    </cfRule>
  </conditionalFormatting>
  <conditionalFormatting sqref="L32:L40">
    <cfRule type="cellIs" dxfId="268" priority="314" stopIfTrue="1" operator="greaterThan">
      <formula>0</formula>
    </cfRule>
    <cfRule type="expression" dxfId="267" priority="403">
      <formula>$L$30=2</formula>
    </cfRule>
  </conditionalFormatting>
  <conditionalFormatting sqref="L45:L53">
    <cfRule type="expression" dxfId="266" priority="393">
      <formula>$L$43=2</formula>
    </cfRule>
    <cfRule type="cellIs" dxfId="265" priority="392" operator="greaterThan">
      <formula>0</formula>
    </cfRule>
  </conditionalFormatting>
  <conditionalFormatting sqref="L189">
    <cfRule type="expression" dxfId="264" priority="16">
      <formula>$AM189=2</formula>
    </cfRule>
  </conditionalFormatting>
  <conditionalFormatting sqref="L31:N31">
    <cfRule type="expression" dxfId="263" priority="124">
      <formula>ISBLANK($L$31)</formula>
    </cfRule>
  </conditionalFormatting>
  <conditionalFormatting sqref="L44:N44">
    <cfRule type="expression" dxfId="262" priority="123">
      <formula>ISBLANK($L$44)</formula>
    </cfRule>
  </conditionalFormatting>
  <conditionalFormatting sqref="L64:N64">
    <cfRule type="expression" dxfId="261" priority="279">
      <formula>ISBLANK(L64)</formula>
    </cfRule>
  </conditionalFormatting>
  <conditionalFormatting sqref="L189:T189">
    <cfRule type="cellIs" priority="13" stopIfTrue="1" operator="greaterThan">
      <formula>0</formula>
    </cfRule>
  </conditionalFormatting>
  <conditionalFormatting sqref="M71:O73 R71:T73 W71:Y73">
    <cfRule type="cellIs" priority="171" stopIfTrue="1" operator="greaterThan">
      <formula>0</formula>
    </cfRule>
    <cfRule type="expression" dxfId="260" priority="172">
      <formula>ISBLANK(M71)</formula>
    </cfRule>
  </conditionalFormatting>
  <conditionalFormatting sqref="M84:O84">
    <cfRule type="expression" priority="155" stopIfTrue="1">
      <formula>$AM$84=2</formula>
    </cfRule>
    <cfRule type="cellIs" priority="154" stopIfTrue="1" operator="greaterThan">
      <formula>0</formula>
    </cfRule>
    <cfRule type="expression" dxfId="259" priority="156">
      <formula>ISBLANK(M84)</formula>
    </cfRule>
  </conditionalFormatting>
  <conditionalFormatting sqref="M86:O86 W86:Y86">
    <cfRule type="cellIs" priority="137" stopIfTrue="1" operator="notEqual">
      <formula>0</formula>
    </cfRule>
    <cfRule type="expression" dxfId="258" priority="138">
      <formula>ISBLANK(M86)</formula>
    </cfRule>
  </conditionalFormatting>
  <conditionalFormatting sqref="M89:O89">
    <cfRule type="expression" dxfId="257" priority="146">
      <formula>ISBLANK(M89)</formula>
    </cfRule>
    <cfRule type="cellIs" priority="144" stopIfTrue="1" operator="greaterThan">
      <formula>0</formula>
    </cfRule>
    <cfRule type="expression" priority="145" stopIfTrue="1">
      <formula>$AM$89=2</formula>
    </cfRule>
  </conditionalFormatting>
  <conditionalFormatting sqref="M91:O91 W91:Y91 M93:O93 W93:Y93 AF93:AH93">
    <cfRule type="expression" dxfId="256" priority="140">
      <formula>ISBLANK(M91)</formula>
    </cfRule>
  </conditionalFormatting>
  <conditionalFormatting sqref="M121:O126">
    <cfRule type="cellIs" dxfId="255" priority="119" operator="equal">
      <formula>0</formula>
    </cfRule>
  </conditionalFormatting>
  <conditionalFormatting sqref="M75:P75 M76:O77 W76:Y77">
    <cfRule type="expression" dxfId="254" priority="1141">
      <formula>ISBLANK(M75)</formula>
    </cfRule>
    <cfRule type="cellIs" priority="165" stopIfTrue="1" operator="greaterThan">
      <formula>0</formula>
    </cfRule>
    <cfRule type="expression" priority="167" stopIfTrue="1">
      <formula>$AM$75=2</formula>
    </cfRule>
  </conditionalFormatting>
  <conditionalFormatting sqref="M79:P79 M80:O80 W80:Y80">
    <cfRule type="expression" priority="160" stopIfTrue="1">
      <formula>$AM$79=2</formula>
    </cfRule>
    <cfRule type="expression" dxfId="253" priority="161">
      <formula>ISBLANK(M79)</formula>
    </cfRule>
    <cfRule type="cellIs" priority="159" stopIfTrue="1" operator="greaterThan">
      <formula>0</formula>
    </cfRule>
  </conditionalFormatting>
  <conditionalFormatting sqref="M82:P82 W82:Y82 M84:O84 W84:Y84 AF84:AH84 M86:O86 W86:Y86 AE86 AH86">
    <cfRule type="expression" priority="131" stopIfTrue="1">
      <formula>$AL$82=2</formula>
    </cfRule>
  </conditionalFormatting>
  <conditionalFormatting sqref="M82:P82 W82:Y82">
    <cfRule type="expression" dxfId="252" priority="150">
      <formula>ISBLANK(M82)</formula>
    </cfRule>
    <cfRule type="cellIs" priority="149" stopIfTrue="1" operator="greaterThan">
      <formula>0</formula>
    </cfRule>
  </conditionalFormatting>
  <conditionalFormatting sqref="M88:P88">
    <cfRule type="expression" dxfId="251" priority="148">
      <formula>ISBLANK(M88)</formula>
    </cfRule>
    <cfRule type="cellIs" priority="147" stopIfTrue="1" operator="greaterThan">
      <formula>0</formula>
    </cfRule>
  </conditionalFormatting>
  <conditionalFormatting sqref="M102:P102">
    <cfRule type="expression" priority="120" stopIfTrue="1">
      <formula>$AO$102=2</formula>
    </cfRule>
  </conditionalFormatting>
  <conditionalFormatting sqref="O117:R117 W117:Z117">
    <cfRule type="expression" dxfId="250" priority="23">
      <formula>ISBLANK(O117)</formula>
    </cfRule>
  </conditionalFormatting>
  <conditionalFormatting sqref="P29 S29 V29 Y29">
    <cfRule type="expression" priority="105" stopIfTrue="1">
      <formula>$AL29=2</formula>
    </cfRule>
    <cfRule type="expression" dxfId="249" priority="106">
      <formula>$AL29=1</formula>
    </cfRule>
  </conditionalFormatting>
  <conditionalFormatting sqref="P42 S42 V42 Y42">
    <cfRule type="expression" priority="103" stopIfTrue="1">
      <formula>$AL42=2</formula>
    </cfRule>
    <cfRule type="expression" dxfId="248" priority="104">
      <formula>$AL42=1</formula>
    </cfRule>
  </conditionalFormatting>
  <conditionalFormatting sqref="P45:P53">
    <cfRule type="expression" dxfId="247" priority="1052">
      <formula>$P$43=2</formula>
    </cfRule>
    <cfRule type="cellIs" dxfId="246" priority="1051" operator="greaterThan">
      <formula>0</formula>
    </cfRule>
  </conditionalFormatting>
  <conditionalFormatting sqref="P145">
    <cfRule type="expression" dxfId="245" priority="108">
      <formula>ISBLANK(P145)</formula>
    </cfRule>
  </conditionalFormatting>
  <conditionalFormatting sqref="P31:R40">
    <cfRule type="expression" dxfId="244" priority="300">
      <formula>$P$30=2</formula>
    </cfRule>
    <cfRule type="cellIs" priority="299" stopIfTrue="1" operator="greaterThan">
      <formula>0</formula>
    </cfRule>
  </conditionalFormatting>
  <conditionalFormatting sqref="P68:T68">
    <cfRule type="cellIs" priority="175" stopIfTrue="1" operator="greaterThan">
      <formula>0</formula>
    </cfRule>
    <cfRule type="expression" dxfId="243" priority="176">
      <formula>$AM$68=2</formula>
    </cfRule>
  </conditionalFormatting>
  <conditionalFormatting sqref="S33:S40">
    <cfRule type="cellIs" dxfId="242" priority="310" operator="greaterThan">
      <formula>0</formula>
    </cfRule>
    <cfRule type="expression" dxfId="241" priority="400">
      <formula>$R$30=2</formula>
    </cfRule>
  </conditionalFormatting>
  <conditionalFormatting sqref="S112">
    <cfRule type="cellIs" dxfId="240" priority="1125" operator="lessThan">
      <formula>$H112</formula>
    </cfRule>
    <cfRule type="expression" dxfId="239" priority="1124">
      <formula>ISBLANK(S112)</formula>
    </cfRule>
  </conditionalFormatting>
  <conditionalFormatting sqref="T32:T40">
    <cfRule type="cellIs" dxfId="238" priority="1117" operator="greaterThan">
      <formula>0</formula>
    </cfRule>
    <cfRule type="expression" dxfId="237" priority="1118">
      <formula>$T$30=2</formula>
    </cfRule>
  </conditionalFormatting>
  <conditionalFormatting sqref="T45:T53">
    <cfRule type="cellIs" dxfId="236" priority="1095" operator="greaterThan">
      <formula>0</formula>
    </cfRule>
    <cfRule type="expression" dxfId="235" priority="1096">
      <formula>$T$43=2</formula>
    </cfRule>
  </conditionalFormatting>
  <conditionalFormatting sqref="U121:U126 Y121:Y126 AC121:AC126">
    <cfRule type="expression" dxfId="234" priority="26" stopIfTrue="1">
      <formula>ISBLANK(U121)</formula>
    </cfRule>
  </conditionalFormatting>
  <conditionalFormatting sqref="W23 W26:W27">
    <cfRule type="cellIs" dxfId="233" priority="409" operator="equal">
      <formula>0</formula>
    </cfRule>
  </conditionalFormatting>
  <conditionalFormatting sqref="W56 Z56">
    <cfRule type="expression" dxfId="232" priority="94">
      <formula>$AN56=1</formula>
    </cfRule>
    <cfRule type="expression" priority="93">
      <formula>$AN56=2</formula>
    </cfRule>
  </conditionalFormatting>
  <conditionalFormatting sqref="W56">
    <cfRule type="expression" dxfId="231" priority="91">
      <formula>$AO56=2</formula>
    </cfRule>
  </conditionalFormatting>
  <conditionalFormatting sqref="W84:Y84 AF84">
    <cfRule type="expression" dxfId="230" priority="153">
      <formula>ISBLANK(W84)</formula>
    </cfRule>
    <cfRule type="expression" priority="152" stopIfTrue="1">
      <formula>$AL$84=2</formula>
    </cfRule>
    <cfRule type="cellIs" priority="151" stopIfTrue="1" operator="greaterThan">
      <formula>0</formula>
    </cfRule>
  </conditionalFormatting>
  <conditionalFormatting sqref="W88:Y89 AF89:AH89">
    <cfRule type="cellIs" priority="141" stopIfTrue="1" operator="greaterThan">
      <formula>0</formula>
    </cfRule>
    <cfRule type="expression" dxfId="229" priority="143">
      <formula>ISBLANK(W88)</formula>
    </cfRule>
  </conditionalFormatting>
  <conditionalFormatting sqref="W89:Y89 AF89:AH89">
    <cfRule type="expression" priority="142" stopIfTrue="1">
      <formula>$AL$89=2</formula>
    </cfRule>
  </conditionalFormatting>
  <conditionalFormatting sqref="W91:Y91">
    <cfRule type="cellIs" dxfId="228" priority="129" stopIfTrue="1" operator="greaterThan">
      <formula>96</formula>
    </cfRule>
  </conditionalFormatting>
  <conditionalFormatting sqref="W93:Y93 W91:Y91 M91:O91 M93:O93 AF93:AH93">
    <cfRule type="cellIs" priority="139" stopIfTrue="1" operator="greaterThan">
      <formula>0</formula>
    </cfRule>
  </conditionalFormatting>
  <conditionalFormatting sqref="W93:Y93">
    <cfRule type="cellIs" dxfId="227" priority="130" stopIfTrue="1" operator="greaterThan">
      <formula>12</formula>
    </cfRule>
  </conditionalFormatting>
  <conditionalFormatting sqref="W23:Z23 W26:Z27">
    <cfRule type="expression" priority="118" stopIfTrue="1">
      <formula>$AL$23=1</formula>
    </cfRule>
  </conditionalFormatting>
  <conditionalFormatting sqref="X32:X40">
    <cfRule type="cellIs" dxfId="226" priority="1119" operator="greaterThan">
      <formula>0</formula>
    </cfRule>
    <cfRule type="expression" dxfId="225" priority="1120">
      <formula>$X$30=2</formula>
    </cfRule>
  </conditionalFormatting>
  <conditionalFormatting sqref="X45:X53">
    <cfRule type="cellIs" dxfId="224" priority="1105" operator="greaterThan">
      <formula>0</formula>
    </cfRule>
    <cfRule type="expression" dxfId="223" priority="1106">
      <formula>$X$43=2</formula>
    </cfRule>
  </conditionalFormatting>
  <conditionalFormatting sqref="X102 AC102">
    <cfRule type="expression" dxfId="222" priority="338">
      <formula>$AM$102=2</formula>
    </cfRule>
  </conditionalFormatting>
  <conditionalFormatting sqref="X102:X103 AC102:AC103">
    <cfRule type="cellIs" priority="335" stopIfTrue="1" operator="greaterThan">
      <formula>0</formula>
    </cfRule>
  </conditionalFormatting>
  <conditionalFormatting sqref="X103 AC103">
    <cfRule type="expression" dxfId="221" priority="336">
      <formula>$AM$103=2</formula>
    </cfRule>
  </conditionalFormatting>
  <conditionalFormatting sqref="X104 AC104">
    <cfRule type="cellIs" priority="333" stopIfTrue="1" operator="greaterThan">
      <formula>1</formula>
    </cfRule>
    <cfRule type="expression" dxfId="220" priority="334">
      <formula>$AM$104=2</formula>
    </cfRule>
  </conditionalFormatting>
  <conditionalFormatting sqref="X105 AC105">
    <cfRule type="expression" dxfId="219" priority="332">
      <formula>$AM$105=2</formula>
    </cfRule>
  </conditionalFormatting>
  <conditionalFormatting sqref="X105:X110 AC105:AC110">
    <cfRule type="cellIs" priority="321" stopIfTrue="1" operator="greaterThan">
      <formula>0</formula>
    </cfRule>
  </conditionalFormatting>
  <conditionalFormatting sqref="X106 AC106">
    <cfRule type="expression" dxfId="218" priority="330">
      <formula>$AM$106=2</formula>
    </cfRule>
  </conditionalFormatting>
  <conditionalFormatting sqref="X107 AC107">
    <cfRule type="expression" dxfId="217" priority="328">
      <formula>$AM$107=2</formula>
    </cfRule>
  </conditionalFormatting>
  <conditionalFormatting sqref="X108 AC108">
    <cfRule type="expression" dxfId="216" priority="326">
      <formula>$AM$108=2</formula>
    </cfRule>
  </conditionalFormatting>
  <conditionalFormatting sqref="X109 AC109">
    <cfRule type="expression" dxfId="215" priority="324">
      <formula>$AM$109=2</formula>
    </cfRule>
  </conditionalFormatting>
  <conditionalFormatting sqref="X110 AC110">
    <cfRule type="expression" dxfId="214" priority="322">
      <formula>$AM$110=2</formula>
    </cfRule>
  </conditionalFormatting>
  <conditionalFormatting sqref="X111 AC111">
    <cfRule type="cellIs" priority="319" stopIfTrue="1" operator="notEqual">
      <formula>0</formula>
    </cfRule>
    <cfRule type="expression" dxfId="213" priority="320">
      <formula>$AM$111=2</formula>
    </cfRule>
  </conditionalFormatting>
  <conditionalFormatting sqref="X145">
    <cfRule type="expression" dxfId="212" priority="109">
      <formula>ISBLANK(X145)</formula>
    </cfRule>
  </conditionalFormatting>
  <conditionalFormatting sqref="Y125:AA125">
    <cfRule type="expression" dxfId="211" priority="28">
      <formula>$AL$125&lt;1</formula>
    </cfRule>
  </conditionalFormatting>
  <conditionalFormatting sqref="Y125:AA126">
    <cfRule type="expression" priority="27" stopIfTrue="1">
      <formula>$AM$128=1</formula>
    </cfRule>
  </conditionalFormatting>
  <conditionalFormatting sqref="Y126:AA126">
    <cfRule type="expression" dxfId="210" priority="128">
      <formula>$AL$126&lt;1</formula>
    </cfRule>
  </conditionalFormatting>
  <conditionalFormatting sqref="AA21">
    <cfRule type="expression" dxfId="209" priority="421">
      <formula>ISBLANK(AA21)</formula>
    </cfRule>
  </conditionalFormatting>
  <conditionalFormatting sqref="AB32:AB40">
    <cfRule type="cellIs" dxfId="208" priority="394" operator="greaterThan">
      <formula>0</formula>
    </cfRule>
    <cfRule type="expression" dxfId="207" priority="395">
      <formula>$AB$30=2</formula>
    </cfRule>
  </conditionalFormatting>
  <conditionalFormatting sqref="AB45:AB53">
    <cfRule type="expression" dxfId="206" priority="1116">
      <formula>$AB$43=2</formula>
    </cfRule>
    <cfRule type="cellIs" dxfId="205" priority="1115" operator="greaterThan">
      <formula>0</formula>
    </cfRule>
  </conditionalFormatting>
  <conditionalFormatting sqref="AC75">
    <cfRule type="expression" dxfId="204" priority="1144">
      <formula>ISBLANK(AC75)</formula>
    </cfRule>
    <cfRule type="cellIs" priority="1142" stopIfTrue="1" operator="greaterThan">
      <formula>0</formula>
    </cfRule>
    <cfRule type="expression" priority="1143" stopIfTrue="1">
      <formula>$AL$75=2</formula>
    </cfRule>
  </conditionalFormatting>
  <conditionalFormatting sqref="AC79">
    <cfRule type="expression" priority="163" stopIfTrue="1">
      <formula>$AL$79=2</formula>
    </cfRule>
    <cfRule type="expression" dxfId="203" priority="164">
      <formula>ISBLANK(AC79)</formula>
    </cfRule>
    <cfRule type="cellIs" priority="162" stopIfTrue="1" operator="greaterThan">
      <formula>0</formula>
    </cfRule>
  </conditionalFormatting>
  <conditionalFormatting sqref="AC82">
    <cfRule type="expression" dxfId="202" priority="134">
      <formula>ISBLANK(AC82)</formula>
    </cfRule>
    <cfRule type="cellIs" priority="132" stopIfTrue="1" operator="greaterThan">
      <formula>0</formula>
    </cfRule>
    <cfRule type="expression" priority="133" stopIfTrue="1">
      <formula>$AL$79=2</formula>
    </cfRule>
  </conditionalFormatting>
  <conditionalFormatting sqref="AC66:AE66 H66:J66 T66:V66">
    <cfRule type="cellIs" priority="173" stopIfTrue="1" operator="greaterThan">
      <formula>0</formula>
    </cfRule>
  </conditionalFormatting>
  <conditionalFormatting sqref="AC66:AE66">
    <cfRule type="cellIs" dxfId="201" priority="127" operator="greaterThan">
      <formula>5</formula>
    </cfRule>
  </conditionalFormatting>
  <conditionalFormatting sqref="AD149">
    <cfRule type="expression" dxfId="200" priority="111">
      <formula>ISBLANK(AD149)</formula>
    </cfRule>
  </conditionalFormatting>
  <conditionalFormatting sqref="AE64 AH64">
    <cfRule type="expression" priority="277" stopIfTrue="1">
      <formula>$AL$64=2</formula>
    </cfRule>
    <cfRule type="expression" dxfId="199" priority="278">
      <formula>$AL$64=1</formula>
    </cfRule>
  </conditionalFormatting>
  <conditionalFormatting sqref="AE86 AH86">
    <cfRule type="cellIs" priority="1145" operator="greaterThan">
      <formula>0</formula>
    </cfRule>
    <cfRule type="expression" dxfId="198" priority="1146">
      <formula>$AL$86=1</formula>
    </cfRule>
  </conditionalFormatting>
  <conditionalFormatting sqref="AE95 AH95">
    <cfRule type="expression" dxfId="197" priority="317">
      <formula>$AL$95=1</formula>
    </cfRule>
  </conditionalFormatting>
  <conditionalFormatting sqref="AF171 AI171">
    <cfRule type="expression" dxfId="196" priority="5">
      <formula>$AQ171=4</formula>
    </cfRule>
    <cfRule type="expression" dxfId="195" priority="8">
      <formula>$AM171=2</formula>
    </cfRule>
  </conditionalFormatting>
  <conditionalFormatting sqref="AF173 AI173 AF175 AI175 AF177 AI177 AF179 AI179 AF181 AI181 AF183 AI183 AF185 AI185 AF187 AI187 AF189 AI189">
    <cfRule type="expression" dxfId="194" priority="1">
      <formula>$AQ173=4</formula>
    </cfRule>
    <cfRule type="expression" dxfId="193" priority="4">
      <formula>$AM173=2</formula>
    </cfRule>
  </conditionalFormatting>
  <conditionalFormatting sqref="AF36:AH40">
    <cfRule type="cellIs" dxfId="192" priority="114" operator="equal">
      <formula>0</formula>
    </cfRule>
  </conditionalFormatting>
  <conditionalFormatting sqref="AF49:AH53">
    <cfRule type="cellIs" dxfId="191" priority="113" operator="equal">
      <formula>0</formula>
    </cfRule>
  </conditionalFormatting>
  <conditionalFormatting sqref="AF88:AH88">
    <cfRule type="cellIs" priority="135" stopIfTrue="1" operator="notEqual">
      <formula>0</formula>
    </cfRule>
    <cfRule type="expression" dxfId="190" priority="136">
      <formula>ISBLANK(AF88)</formula>
    </cfRule>
  </conditionalFormatting>
  <conditionalFormatting sqref="AG121:AG126">
    <cfRule type="expression" dxfId="189" priority="21">
      <formula>ISBLANK(AG121)</formula>
    </cfRule>
  </conditionalFormatting>
  <conditionalFormatting sqref="AG121:AI126">
    <cfRule type="expression" dxfId="188" priority="30" stopIfTrue="1">
      <formula>$AN121=1</formula>
    </cfRule>
    <cfRule type="expression" dxfId="187" priority="1126">
      <formula>$AP121=1</formula>
    </cfRule>
    <cfRule type="expression" dxfId="186" priority="31">
      <formula>$AO121=1</formula>
    </cfRule>
  </conditionalFormatting>
  <conditionalFormatting sqref="AI171 AF171">
    <cfRule type="expression" priority="7" stopIfTrue="1">
      <formula>$AQ171=3</formula>
    </cfRule>
  </conditionalFormatting>
  <conditionalFormatting sqref="AI171">
    <cfRule type="expression" dxfId="185" priority="6">
      <formula>$AP171=2</formula>
    </cfRule>
  </conditionalFormatting>
  <conditionalFormatting sqref="AI173 AI175 AI177 AI179 AI181 AI183 AI185 AI187 AI189 AF173 AF175 AF177 AF179 AF181 AF183 AF185 AF187 AF189">
    <cfRule type="expression" priority="3" stopIfTrue="1">
      <formula>$AQ173=3</formula>
    </cfRule>
  </conditionalFormatting>
  <conditionalFormatting sqref="AI173 AI175 AI177 AI179 AI181 AI183 AI185 AI187 AI189">
    <cfRule type="expression" dxfId="184" priority="2">
      <formula>$AP173=2</formula>
    </cfRule>
  </conditionalFormatting>
  <dataValidations count="2">
    <dataValidation type="list" allowBlank="1" showInputMessage="1" showErrorMessage="1" sqref="M75:P75 M79:P79 M82:P82 M88:P88 F97:I97" xr:uid="{BBFC1B51-BAC7-408F-9A20-8A2F604EEA48}">
      <formula1>Material</formula1>
    </dataValidation>
    <dataValidation type="list" allowBlank="1" showInputMessage="1" showErrorMessage="1" sqref="W82:Y82 W88:Y88 O97:Q97" xr:uid="{1EB110C4-B9A9-486B-998B-DDE0473B8F46}">
      <formula1>Shape</formula1>
    </dataValidation>
  </dataValidations>
  <pageMargins left="0.2" right="0.2" top="0.5" bottom="0.25" header="0.3" footer="0.3"/>
  <pageSetup orientation="portrait" r:id="rId1"/>
  <rowBreaks count="2" manualBreakCount="2">
    <brk id="58" max="16383" man="1"/>
    <brk id="114" max="16383" man="1"/>
  </rowBreaks>
  <colBreaks count="1" manualBreakCount="1">
    <brk id="42"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882A8A1-F30F-482D-9CAD-3857881F815B}">
          <x14:formula1>
            <xm:f>Tables!$A$2:$A$10</xm:f>
          </x14:formula1>
          <xm:sqref>F97 M82 M88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D7E9D-8F53-4B28-B0A2-9364562AF2BF}">
  <sheetPr codeName="Sheet2">
    <tabColor theme="7" tint="0.39997558519241921"/>
  </sheetPr>
  <dimension ref="A1:CN117"/>
  <sheetViews>
    <sheetView showGridLines="0" showRowColHeaders="0" showZeros="0" zoomScale="150" zoomScaleNormal="150" workbookViewId="0">
      <selection activeCell="E14" sqref="E14:Y14"/>
    </sheetView>
  </sheetViews>
  <sheetFormatPr defaultColWidth="0" defaultRowHeight="0" customHeight="1" zeroHeight="1" x14ac:dyDescent="0.3"/>
  <cols>
    <col min="1" max="1" width="1.77734375" style="39" customWidth="1"/>
    <col min="2" max="36" width="2.77734375" style="39" customWidth="1"/>
    <col min="37" max="37" width="1.77734375" style="39" customWidth="1"/>
    <col min="38" max="38" width="2.77734375" style="39" customWidth="1"/>
    <col min="39" max="43" width="5.77734375" style="23" hidden="1" customWidth="1"/>
    <col min="44" max="79" width="2.77734375" style="39" customWidth="1"/>
    <col min="80" max="92" width="2.77734375" style="39" hidden="1" customWidth="1"/>
    <col min="93" max="16384" width="8.88671875" style="39" hidden="1"/>
  </cols>
  <sheetData>
    <row r="1" spans="1:88" ht="15" customHeight="1" x14ac:dyDescent="0.3">
      <c r="G1" s="3"/>
      <c r="H1" s="3"/>
      <c r="I1" s="3"/>
      <c r="J1" s="3"/>
      <c r="K1" s="3"/>
      <c r="L1" s="3"/>
      <c r="M1" s="3"/>
      <c r="N1" s="176" t="s">
        <v>474</v>
      </c>
      <c r="O1" s="176"/>
      <c r="P1" s="176"/>
      <c r="Q1" s="176"/>
      <c r="R1" s="176"/>
      <c r="S1" s="176"/>
      <c r="T1" s="176"/>
      <c r="U1" s="176"/>
      <c r="V1" s="176"/>
      <c r="W1" s="176"/>
      <c r="X1" s="176"/>
      <c r="Y1" s="176"/>
      <c r="Z1" s="176"/>
      <c r="AA1" s="176"/>
      <c r="AB1" s="176"/>
      <c r="AC1" s="176"/>
      <c r="AD1" s="176"/>
      <c r="AE1" s="176"/>
      <c r="AF1" s="176"/>
      <c r="AG1" s="176"/>
      <c r="AH1" s="176"/>
      <c r="AI1" s="176"/>
      <c r="AJ1" s="176"/>
      <c r="AK1" s="176"/>
      <c r="BD1" s="176" t="str">
        <f>N1</f>
        <v>Form 2D.2 - Bioretention Area
Design Form Attachment</v>
      </c>
      <c r="BE1" s="176"/>
      <c r="BF1" s="176"/>
      <c r="BG1" s="176"/>
      <c r="BH1" s="176"/>
      <c r="BI1" s="176"/>
      <c r="BJ1" s="176"/>
      <c r="BK1" s="176"/>
      <c r="BL1" s="176"/>
      <c r="BM1" s="176"/>
      <c r="BN1" s="176"/>
      <c r="BO1" s="176"/>
      <c r="BP1" s="176"/>
      <c r="BQ1" s="176"/>
      <c r="BR1" s="176"/>
      <c r="BS1" s="176"/>
      <c r="BT1" s="176"/>
      <c r="BU1" s="176"/>
      <c r="BV1" s="176"/>
      <c r="BW1" s="176"/>
      <c r="BX1" s="176"/>
      <c r="BY1" s="176"/>
      <c r="BZ1" s="176"/>
    </row>
    <row r="2" spans="1:88" ht="15" customHeight="1" x14ac:dyDescent="0.3">
      <c r="E2" s="3"/>
      <c r="F2" s="3"/>
      <c r="G2" s="3"/>
      <c r="H2" s="3"/>
      <c r="I2" s="3"/>
      <c r="J2" s="3"/>
      <c r="K2" s="3"/>
      <c r="L2" s="3"/>
      <c r="M2" s="3"/>
      <c r="N2" s="176"/>
      <c r="O2" s="176"/>
      <c r="P2" s="176"/>
      <c r="Q2" s="176"/>
      <c r="R2" s="176"/>
      <c r="S2" s="176"/>
      <c r="T2" s="176"/>
      <c r="U2" s="176"/>
      <c r="V2" s="176"/>
      <c r="W2" s="176"/>
      <c r="X2" s="176"/>
      <c r="Y2" s="176"/>
      <c r="Z2" s="176"/>
      <c r="AA2" s="176"/>
      <c r="AB2" s="176"/>
      <c r="AC2" s="176"/>
      <c r="AD2" s="176"/>
      <c r="AE2" s="176"/>
      <c r="AF2" s="176"/>
      <c r="AG2" s="176"/>
      <c r="AH2" s="176"/>
      <c r="AI2" s="176"/>
      <c r="AJ2" s="176"/>
      <c r="AK2" s="176"/>
      <c r="BD2" s="176"/>
      <c r="BE2" s="176"/>
      <c r="BF2" s="176"/>
      <c r="BG2" s="176"/>
      <c r="BH2" s="176"/>
      <c r="BI2" s="176"/>
      <c r="BJ2" s="176"/>
      <c r="BK2" s="176"/>
      <c r="BL2" s="176"/>
      <c r="BM2" s="176"/>
      <c r="BN2" s="176"/>
      <c r="BO2" s="176"/>
      <c r="BP2" s="176"/>
      <c r="BQ2" s="176"/>
      <c r="BR2" s="176"/>
      <c r="BS2" s="176"/>
      <c r="BT2" s="176"/>
      <c r="BU2" s="176"/>
      <c r="BV2" s="176"/>
      <c r="BW2" s="176"/>
      <c r="BX2" s="176"/>
      <c r="BY2" s="176"/>
      <c r="BZ2" s="176"/>
    </row>
    <row r="3" spans="1:88" ht="15" customHeight="1" x14ac:dyDescent="0.3">
      <c r="E3" s="3"/>
      <c r="F3" s="3"/>
      <c r="G3" s="3"/>
      <c r="H3" s="3"/>
      <c r="I3" s="3"/>
      <c r="J3" s="3"/>
      <c r="K3" s="3"/>
      <c r="L3" s="3"/>
      <c r="M3" s="3"/>
      <c r="N3" s="176"/>
      <c r="O3" s="176"/>
      <c r="P3" s="176"/>
      <c r="Q3" s="176"/>
      <c r="R3" s="176"/>
      <c r="S3" s="176"/>
      <c r="T3" s="176"/>
      <c r="U3" s="176"/>
      <c r="V3" s="176"/>
      <c r="W3" s="176"/>
      <c r="X3" s="176"/>
      <c r="Y3" s="176"/>
      <c r="Z3" s="176"/>
      <c r="AA3" s="176"/>
      <c r="AB3" s="176"/>
      <c r="AC3" s="176"/>
      <c r="AD3" s="176"/>
      <c r="AE3" s="176"/>
      <c r="AF3" s="176"/>
      <c r="AG3" s="176"/>
      <c r="AH3" s="176"/>
      <c r="AI3" s="176"/>
      <c r="AJ3" s="176"/>
      <c r="AK3" s="176"/>
      <c r="BD3" s="176"/>
      <c r="BE3" s="176"/>
      <c r="BF3" s="176"/>
      <c r="BG3" s="176"/>
      <c r="BH3" s="176"/>
      <c r="BI3" s="176"/>
      <c r="BJ3" s="176"/>
      <c r="BK3" s="176"/>
      <c r="BL3" s="176"/>
      <c r="BM3" s="176"/>
      <c r="BN3" s="176"/>
      <c r="BO3" s="176"/>
      <c r="BP3" s="176"/>
      <c r="BQ3" s="176"/>
      <c r="BR3" s="176"/>
      <c r="BS3" s="176"/>
      <c r="BT3" s="176"/>
      <c r="BU3" s="176"/>
      <c r="BV3" s="176"/>
      <c r="BW3" s="176"/>
      <c r="BX3" s="176"/>
      <c r="BY3" s="176"/>
      <c r="BZ3" s="176"/>
    </row>
    <row r="4" spans="1:88" ht="15" customHeight="1" x14ac:dyDescent="0.3">
      <c r="E4" s="3"/>
      <c r="F4" s="3"/>
      <c r="G4" s="3"/>
      <c r="H4" s="3"/>
      <c r="I4" s="3"/>
      <c r="J4" s="3"/>
      <c r="K4" s="3"/>
      <c r="L4" s="3"/>
      <c r="M4" s="3"/>
      <c r="N4" s="176"/>
      <c r="O4" s="176"/>
      <c r="P4" s="176"/>
      <c r="Q4" s="176"/>
      <c r="R4" s="176"/>
      <c r="S4" s="176"/>
      <c r="T4" s="176"/>
      <c r="U4" s="176"/>
      <c r="V4" s="176"/>
      <c r="W4" s="176"/>
      <c r="X4" s="176"/>
      <c r="Y4" s="176"/>
      <c r="Z4" s="176"/>
      <c r="AA4" s="176"/>
      <c r="AB4" s="176"/>
      <c r="AC4" s="176"/>
      <c r="AD4" s="176"/>
      <c r="AE4" s="176"/>
      <c r="AF4" s="176"/>
      <c r="AG4" s="176"/>
      <c r="AH4" s="176"/>
      <c r="AI4" s="176"/>
      <c r="AJ4" s="176"/>
      <c r="AK4" s="176"/>
      <c r="BD4" s="176"/>
      <c r="BE4" s="176"/>
      <c r="BF4" s="176"/>
      <c r="BG4" s="176"/>
      <c r="BH4" s="176"/>
      <c r="BI4" s="176"/>
      <c r="BJ4" s="176"/>
      <c r="BK4" s="176"/>
      <c r="BL4" s="176"/>
      <c r="BM4" s="176"/>
      <c r="BN4" s="176"/>
      <c r="BO4" s="176"/>
      <c r="BP4" s="176"/>
      <c r="BQ4" s="176"/>
      <c r="BR4" s="176"/>
      <c r="BS4" s="176"/>
      <c r="BT4" s="176"/>
      <c r="BU4" s="176"/>
      <c r="BV4" s="176"/>
      <c r="BW4" s="176"/>
      <c r="BX4" s="176"/>
      <c r="BY4" s="176"/>
      <c r="BZ4" s="176"/>
    </row>
    <row r="5" spans="1:88" ht="4.95" customHeight="1" x14ac:dyDescent="0.3">
      <c r="E5" s="3"/>
      <c r="F5" s="3"/>
      <c r="G5" s="3"/>
      <c r="H5" s="3"/>
      <c r="I5" s="3"/>
      <c r="J5" s="3"/>
      <c r="K5" s="3"/>
      <c r="L5" s="3"/>
      <c r="M5" s="3"/>
      <c r="N5" s="3"/>
      <c r="O5" s="3"/>
      <c r="P5" s="3"/>
      <c r="Q5" s="3"/>
      <c r="R5" s="3"/>
      <c r="S5" s="3"/>
      <c r="T5" s="3"/>
      <c r="U5" s="3"/>
      <c r="V5" s="3"/>
      <c r="W5" s="3"/>
      <c r="X5" s="3"/>
      <c r="Y5" s="3"/>
      <c r="Z5" s="3"/>
      <c r="AA5" s="3"/>
      <c r="AB5" s="26"/>
      <c r="AC5" s="26"/>
      <c r="AD5" s="26"/>
      <c r="AE5" s="26"/>
      <c r="AF5" s="26"/>
      <c r="AG5" s="26"/>
      <c r="AH5" s="26"/>
      <c r="AI5" s="26"/>
      <c r="AJ5" s="26"/>
    </row>
    <row r="6" spans="1:88" ht="15" customHeight="1" x14ac:dyDescent="0.3">
      <c r="A6" s="27"/>
      <c r="B6" s="28" t="s">
        <v>123</v>
      </c>
      <c r="C6" s="28"/>
      <c r="D6" s="28"/>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30"/>
      <c r="AR6" s="168" t="s">
        <v>72</v>
      </c>
      <c r="AS6" s="168"/>
      <c r="AT6" s="168"/>
      <c r="AU6" s="168"/>
      <c r="AV6" s="168"/>
      <c r="AW6" s="168"/>
      <c r="AX6" s="168"/>
      <c r="AY6" s="168"/>
      <c r="AZ6" s="168"/>
      <c r="BA6" s="168"/>
      <c r="BB6" s="168"/>
      <c r="BC6" s="168"/>
      <c r="BD6" s="168"/>
      <c r="BE6" s="168"/>
      <c r="BF6" s="168"/>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row>
    <row r="7" spans="1:88" ht="15" customHeight="1" x14ac:dyDescent="0.3">
      <c r="A7" s="31"/>
      <c r="B7" s="10" t="s">
        <v>64</v>
      </c>
      <c r="C7" s="10"/>
      <c r="D7" s="10"/>
      <c r="E7" s="215"/>
      <c r="F7" s="215"/>
      <c r="G7" s="215"/>
      <c r="H7" s="215"/>
      <c r="I7" s="215"/>
      <c r="J7" s="215"/>
      <c r="K7" s="215"/>
      <c r="L7" s="215"/>
      <c r="M7" s="215"/>
      <c r="N7" s="215"/>
      <c r="O7" s="215"/>
      <c r="P7" s="215"/>
      <c r="Q7" s="215"/>
      <c r="R7" s="215"/>
      <c r="S7" s="215"/>
      <c r="T7" s="215"/>
      <c r="U7" s="215"/>
      <c r="V7" s="215"/>
      <c r="W7" s="215"/>
      <c r="X7" s="215"/>
      <c r="Y7" s="10"/>
      <c r="Z7" s="10"/>
      <c r="AA7" s="10"/>
      <c r="AB7" s="10"/>
      <c r="AC7" s="10"/>
      <c r="AD7" s="32" t="s">
        <v>21</v>
      </c>
      <c r="AE7" s="216"/>
      <c r="AF7" s="216"/>
      <c r="AG7" s="216"/>
      <c r="AH7" s="216"/>
      <c r="AI7" s="216"/>
      <c r="AJ7" s="216"/>
      <c r="AK7" s="33"/>
      <c r="AR7" s="168"/>
      <c r="AS7" s="168"/>
      <c r="AT7" s="168"/>
      <c r="AU7" s="168"/>
      <c r="AV7" s="168"/>
      <c r="AW7" s="168"/>
      <c r="AX7" s="168"/>
      <c r="AY7" s="168"/>
      <c r="AZ7" s="168"/>
      <c r="BA7" s="168"/>
      <c r="BB7" s="168"/>
      <c r="BC7" s="168"/>
      <c r="BD7" s="168"/>
      <c r="BE7" s="168"/>
      <c r="BF7" s="168"/>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row>
    <row r="8" spans="1:88" ht="4.95" customHeight="1" x14ac:dyDescent="0.3">
      <c r="A8" s="31"/>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32"/>
      <c r="AG8" s="12"/>
      <c r="AH8" s="12"/>
      <c r="AI8" s="12"/>
      <c r="AJ8" s="12"/>
      <c r="AK8" s="33"/>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row>
    <row r="9" spans="1:88" ht="15" customHeight="1" x14ac:dyDescent="0.3">
      <c r="A9" s="31"/>
      <c r="B9" s="10" t="s">
        <v>22</v>
      </c>
      <c r="C9" s="10"/>
      <c r="D9" s="10"/>
      <c r="E9" s="10"/>
      <c r="F9" s="10"/>
      <c r="G9" s="94"/>
      <c r="H9" s="10" t="s">
        <v>132</v>
      </c>
      <c r="I9" s="10"/>
      <c r="J9" s="10"/>
      <c r="K9" s="10"/>
      <c r="L9" s="10"/>
      <c r="M9" s="10"/>
      <c r="N9" s="94"/>
      <c r="O9" s="10" t="s">
        <v>133</v>
      </c>
      <c r="P9" s="10"/>
      <c r="Q9" s="10"/>
      <c r="R9" s="10"/>
      <c r="S9" s="10"/>
      <c r="T9" s="10"/>
      <c r="U9" s="10"/>
      <c r="V9" s="10"/>
      <c r="W9" s="94"/>
      <c r="X9" s="10" t="s">
        <v>134</v>
      </c>
      <c r="Y9" s="10"/>
      <c r="Z9" s="10"/>
      <c r="AA9" s="10"/>
      <c r="AB9" s="10"/>
      <c r="AC9" s="94"/>
      <c r="AD9" s="10" t="s">
        <v>135</v>
      </c>
      <c r="AE9" s="10"/>
      <c r="AF9" s="10"/>
      <c r="AG9" s="10"/>
      <c r="AH9" s="10"/>
      <c r="AI9" s="10"/>
      <c r="AJ9" s="10"/>
      <c r="AK9" s="33"/>
      <c r="AR9" s="24">
        <v>1</v>
      </c>
      <c r="AS9" s="112" t="s">
        <v>414</v>
      </c>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36"/>
      <c r="BV9" s="136"/>
      <c r="BW9" s="136"/>
      <c r="BX9" s="136"/>
      <c r="BY9" s="136"/>
      <c r="BZ9" s="136"/>
      <c r="CA9" s="136"/>
      <c r="CB9" s="136"/>
      <c r="CC9" s="136"/>
      <c r="CD9" s="136"/>
      <c r="CE9" s="136"/>
      <c r="CF9" s="136"/>
      <c r="CG9" s="136"/>
      <c r="CH9" s="136"/>
      <c r="CI9" s="136"/>
      <c r="CJ9" s="76"/>
    </row>
    <row r="10" spans="1:88" ht="4.95" customHeight="1" x14ac:dyDescent="0.3">
      <c r="A10" s="31"/>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33"/>
      <c r="AR10" s="113"/>
      <c r="AS10" s="113"/>
      <c r="BU10" s="36"/>
      <c r="BV10" s="36"/>
      <c r="BW10" s="36"/>
      <c r="BX10" s="36"/>
      <c r="BY10" s="36"/>
      <c r="BZ10" s="36"/>
      <c r="CA10" s="36"/>
      <c r="CB10" s="36"/>
      <c r="CC10" s="36"/>
      <c r="CD10" s="36"/>
      <c r="CE10" s="36"/>
      <c r="CF10" s="36"/>
      <c r="CG10" s="36"/>
      <c r="CH10" s="36"/>
      <c r="CI10" s="36"/>
      <c r="CJ10" s="36"/>
    </row>
    <row r="11" spans="1:88" ht="15" customHeight="1" x14ac:dyDescent="0.3">
      <c r="A11" s="31"/>
      <c r="B11" s="10" t="s">
        <v>23</v>
      </c>
      <c r="C11" s="10"/>
      <c r="D11" s="10"/>
      <c r="E11" s="10"/>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33"/>
      <c r="AR11" s="113"/>
      <c r="AS11" s="24" t="s">
        <v>98</v>
      </c>
      <c r="AT11" s="80" t="s">
        <v>415</v>
      </c>
      <c r="CJ11" s="35"/>
    </row>
    <row r="12" spans="1:88" ht="4.95" customHeight="1" x14ac:dyDescent="0.3">
      <c r="A12" s="37"/>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38"/>
      <c r="AR12" s="136"/>
      <c r="AS12" s="91"/>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36"/>
      <c r="BV12" s="136"/>
      <c r="BW12" s="136"/>
      <c r="BX12" s="136"/>
      <c r="BY12" s="136"/>
      <c r="BZ12" s="136"/>
      <c r="CA12" s="136"/>
      <c r="CB12" s="136"/>
      <c r="CC12" s="136"/>
      <c r="CD12" s="136"/>
      <c r="CE12" s="136"/>
      <c r="CF12" s="136"/>
      <c r="CG12" s="136"/>
      <c r="CH12" s="136"/>
      <c r="CI12" s="136"/>
      <c r="CJ12" s="35"/>
    </row>
    <row r="13" spans="1:88" ht="15" customHeight="1" x14ac:dyDescent="0.3">
      <c r="B13" s="1" t="s">
        <v>179</v>
      </c>
      <c r="C13" s="1"/>
      <c r="D13" s="1"/>
      <c r="AS13" s="4" t="s">
        <v>99</v>
      </c>
      <c r="AT13" s="80" t="s">
        <v>416</v>
      </c>
      <c r="AU13" s="24"/>
      <c r="CJ13" s="136"/>
    </row>
    <row r="14" spans="1:88" ht="15" customHeight="1" x14ac:dyDescent="0.3">
      <c r="D14" s="2" t="s">
        <v>144</v>
      </c>
      <c r="E14" s="164"/>
      <c r="F14" s="164"/>
      <c r="G14" s="164"/>
      <c r="H14" s="164"/>
      <c r="I14" s="164"/>
      <c r="J14" s="164"/>
      <c r="K14" s="164"/>
      <c r="L14" s="164"/>
      <c r="M14" s="164"/>
      <c r="N14" s="164"/>
      <c r="O14" s="164"/>
      <c r="P14" s="164"/>
      <c r="Q14" s="164"/>
      <c r="R14" s="164"/>
      <c r="S14" s="164"/>
      <c r="T14" s="164"/>
      <c r="U14" s="164"/>
      <c r="V14" s="164"/>
      <c r="W14" s="164"/>
      <c r="X14" s="164"/>
      <c r="Y14" s="164"/>
      <c r="AD14" s="2" t="s">
        <v>180</v>
      </c>
      <c r="AE14" s="177"/>
      <c r="AF14" s="177"/>
      <c r="AG14" s="177"/>
      <c r="AH14" s="177"/>
      <c r="AI14" s="177"/>
      <c r="AJ14" s="177"/>
      <c r="AR14" s="24"/>
      <c r="AS14" s="4" t="s">
        <v>113</v>
      </c>
      <c r="AT14" s="39" t="s">
        <v>417</v>
      </c>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35"/>
      <c r="BV14" s="35"/>
      <c r="BW14" s="35"/>
      <c r="BX14" s="35"/>
      <c r="BY14" s="35"/>
      <c r="BZ14" s="35"/>
      <c r="CA14" s="35"/>
      <c r="CB14" s="35"/>
      <c r="CC14" s="35"/>
      <c r="CD14" s="35"/>
      <c r="CE14" s="35"/>
      <c r="CF14" s="35"/>
      <c r="CG14" s="35"/>
      <c r="CH14" s="35"/>
      <c r="CI14" s="35"/>
      <c r="CJ14" s="137"/>
    </row>
    <row r="15" spans="1:88" ht="15" customHeight="1" x14ac:dyDescent="0.3">
      <c r="D15" s="2" t="s">
        <v>145</v>
      </c>
      <c r="E15" s="190"/>
      <c r="F15" s="190"/>
      <c r="G15" s="190"/>
      <c r="H15" s="190"/>
      <c r="I15" s="190"/>
      <c r="J15" s="190"/>
      <c r="K15" s="190"/>
      <c r="L15" s="190"/>
      <c r="M15" s="190"/>
      <c r="N15" s="190"/>
      <c r="O15" s="190"/>
      <c r="P15" s="190"/>
      <c r="Q15" s="190"/>
      <c r="R15" s="190"/>
      <c r="S15" s="190"/>
      <c r="T15" s="190"/>
      <c r="U15" s="190"/>
      <c r="V15" s="190"/>
      <c r="W15" s="190"/>
      <c r="X15" s="190"/>
      <c r="Y15" s="190"/>
      <c r="AB15" s="2"/>
      <c r="AD15" s="2" t="s">
        <v>181</v>
      </c>
      <c r="AE15" s="217"/>
      <c r="AF15" s="217"/>
      <c r="AG15" s="217"/>
      <c r="AH15" s="217"/>
      <c r="AI15" s="217"/>
      <c r="AJ15" s="217"/>
      <c r="AR15" s="24"/>
      <c r="AS15" s="4" t="s">
        <v>114</v>
      </c>
      <c r="AT15" s="39" t="s">
        <v>439</v>
      </c>
      <c r="AU15" s="24"/>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36"/>
      <c r="BV15" s="136"/>
      <c r="BW15" s="136"/>
      <c r="BX15" s="136"/>
      <c r="BY15" s="136"/>
      <c r="BZ15" s="136"/>
      <c r="CA15" s="136"/>
      <c r="CB15" s="136"/>
      <c r="CC15" s="136"/>
      <c r="CD15" s="136"/>
      <c r="CE15" s="136"/>
      <c r="CF15" s="136"/>
      <c r="CG15" s="136"/>
      <c r="CH15" s="136"/>
      <c r="CI15" s="136"/>
      <c r="CJ15" s="35"/>
    </row>
    <row r="16" spans="1:88" ht="15" customHeight="1" x14ac:dyDescent="0.3">
      <c r="C16" s="11"/>
      <c r="D16" s="2" t="s">
        <v>359</v>
      </c>
      <c r="E16" s="190"/>
      <c r="F16" s="190"/>
      <c r="G16" s="190"/>
      <c r="H16" s="190"/>
      <c r="I16" s="190"/>
      <c r="J16" s="190"/>
      <c r="K16" s="190"/>
      <c r="L16" s="78"/>
      <c r="M16" s="78"/>
      <c r="N16" s="133" t="s">
        <v>148</v>
      </c>
      <c r="O16" s="190"/>
      <c r="P16" s="190"/>
      <c r="Q16" s="190"/>
      <c r="R16" s="190"/>
      <c r="S16" s="78"/>
      <c r="T16" s="78"/>
      <c r="U16" s="78"/>
      <c r="V16" s="133" t="s">
        <v>149</v>
      </c>
      <c r="W16" s="178"/>
      <c r="X16" s="178"/>
      <c r="Y16" s="178"/>
      <c r="Z16" s="11"/>
      <c r="AA16" s="11"/>
      <c r="AC16" s="11"/>
      <c r="AD16" s="2" t="s">
        <v>182</v>
      </c>
      <c r="AE16" s="212"/>
      <c r="AF16" s="212"/>
      <c r="AG16" s="212"/>
      <c r="AH16" s="212"/>
      <c r="AI16" s="212"/>
      <c r="AJ16" s="212"/>
      <c r="AR16" s="24"/>
      <c r="AS16" s="24"/>
      <c r="AU16" s="24"/>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36"/>
      <c r="BV16" s="136"/>
      <c r="BW16" s="136"/>
      <c r="BX16" s="136"/>
      <c r="BY16" s="136"/>
      <c r="BZ16" s="136"/>
      <c r="CA16" s="136"/>
      <c r="CB16" s="136"/>
      <c r="CC16" s="136"/>
      <c r="CD16" s="136"/>
      <c r="CE16" s="136"/>
      <c r="CF16" s="136"/>
      <c r="CG16" s="136"/>
      <c r="CH16" s="136"/>
      <c r="CI16" s="136"/>
    </row>
    <row r="17" spans="2:88" ht="15" customHeight="1" x14ac:dyDescent="0.3">
      <c r="C17" s="11"/>
      <c r="D17" s="2" t="s">
        <v>183</v>
      </c>
      <c r="E17" s="190"/>
      <c r="F17" s="190"/>
      <c r="G17" s="190"/>
      <c r="H17" s="190"/>
      <c r="I17" s="190"/>
      <c r="J17" s="190"/>
      <c r="K17" s="190"/>
      <c r="L17" s="164"/>
      <c r="M17" s="164"/>
      <c r="N17" s="164"/>
      <c r="O17" s="190"/>
      <c r="P17" s="190"/>
      <c r="Q17" s="190"/>
      <c r="R17" s="190"/>
      <c r="S17" s="164"/>
      <c r="T17" s="164"/>
      <c r="U17" s="164"/>
      <c r="V17" s="164"/>
      <c r="W17" s="190"/>
      <c r="X17" s="190"/>
      <c r="Y17" s="190"/>
      <c r="Z17" s="11"/>
      <c r="AA17" s="11"/>
      <c r="AC17" s="11"/>
      <c r="AE17" s="78"/>
      <c r="AF17" s="78"/>
      <c r="AG17" s="78"/>
      <c r="AH17" s="78"/>
      <c r="AI17" s="78"/>
      <c r="AJ17" s="78"/>
      <c r="AR17" s="149" t="s">
        <v>480</v>
      </c>
      <c r="AS17" s="80" t="s">
        <v>481</v>
      </c>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35"/>
      <c r="BV17" s="35"/>
      <c r="BW17" s="35"/>
      <c r="BX17" s="35"/>
      <c r="BY17" s="35"/>
      <c r="BZ17" s="35"/>
      <c r="CA17" s="35"/>
      <c r="CB17" s="35"/>
      <c r="CC17" s="35"/>
      <c r="CD17" s="35"/>
      <c r="CE17" s="35"/>
      <c r="CF17" s="35"/>
      <c r="CG17" s="35"/>
      <c r="CH17" s="35"/>
      <c r="CI17" s="35"/>
      <c r="CJ17" s="35"/>
    </row>
    <row r="18" spans="2:88" ht="15" customHeight="1" x14ac:dyDescent="0.3">
      <c r="C18" s="11"/>
      <c r="D18" s="2" t="s">
        <v>146</v>
      </c>
      <c r="E18" s="213"/>
      <c r="F18" s="190"/>
      <c r="G18" s="190"/>
      <c r="H18" s="190"/>
      <c r="I18" s="190"/>
      <c r="J18" s="190"/>
      <c r="K18" s="190"/>
      <c r="L18" s="190"/>
      <c r="M18" s="190"/>
      <c r="N18" s="190"/>
      <c r="O18" s="190"/>
      <c r="P18" s="190"/>
      <c r="Q18" s="190"/>
      <c r="R18" s="190"/>
      <c r="S18" s="190"/>
      <c r="T18" s="190"/>
      <c r="U18" s="190"/>
      <c r="V18" s="190"/>
      <c r="W18" s="190"/>
      <c r="X18" s="190"/>
      <c r="Y18" s="190"/>
      <c r="Z18" s="11"/>
      <c r="AA18" s="11"/>
      <c r="AC18" s="11"/>
      <c r="AD18" s="2" t="s">
        <v>150</v>
      </c>
      <c r="AE18" s="214"/>
      <c r="AF18" s="214"/>
      <c r="AG18" s="214"/>
      <c r="AH18" s="214"/>
      <c r="AI18" s="214"/>
      <c r="AJ18" s="214"/>
      <c r="AM18" s="121">
        <f>IF(AND(ISBLANK(V24),ISBLANK(Y24)),0,1)</f>
        <v>0</v>
      </c>
      <c r="AN18" s="121">
        <f>IF(ISBLANK(V24),0,1)</f>
        <v>0</v>
      </c>
      <c r="AO18" s="121">
        <f>IF(ISBLANK(Y24),0,2)</f>
        <v>0</v>
      </c>
      <c r="AP18" s="121">
        <f>IF(ISBLANK(V24),1,IF(ISBLANK(Y24),2,3))</f>
        <v>1</v>
      </c>
      <c r="AQ18" s="121">
        <f>SUM(AN18:AO18)</f>
        <v>0</v>
      </c>
      <c r="AS18" s="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35"/>
      <c r="BV18" s="35"/>
      <c r="BW18" s="35"/>
      <c r="BX18" s="35"/>
      <c r="BY18" s="35"/>
      <c r="BZ18" s="35"/>
      <c r="CA18" s="35"/>
      <c r="CB18" s="35"/>
      <c r="CC18" s="35"/>
      <c r="CD18" s="35"/>
      <c r="CE18" s="35"/>
      <c r="CF18" s="35"/>
      <c r="CG18" s="35"/>
      <c r="CH18" s="35"/>
      <c r="CI18" s="35"/>
      <c r="CJ18" s="35"/>
    </row>
    <row r="19" spans="2:88" ht="4.95" customHeight="1" x14ac:dyDescent="0.3">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35"/>
      <c r="BV19" s="35"/>
      <c r="BW19" s="35"/>
      <c r="BX19" s="35"/>
      <c r="BY19" s="35"/>
      <c r="BZ19" s="35"/>
      <c r="CA19" s="35"/>
      <c r="CB19" s="35"/>
      <c r="CC19" s="35"/>
      <c r="CD19" s="35"/>
      <c r="CE19" s="35"/>
      <c r="CF19" s="35"/>
      <c r="CG19" s="35"/>
      <c r="CH19" s="35"/>
      <c r="CI19" s="35"/>
      <c r="CJ19" s="35"/>
    </row>
    <row r="20" spans="2:88" ht="15" customHeight="1" x14ac:dyDescent="0.3">
      <c r="C20" s="2"/>
      <c r="E20" s="2" t="s">
        <v>190</v>
      </c>
      <c r="F20" s="70"/>
      <c r="G20" s="39" t="s">
        <v>418</v>
      </c>
      <c r="M20" s="138"/>
      <c r="U20" s="2" t="s">
        <v>419</v>
      </c>
      <c r="V20" s="70"/>
      <c r="W20" s="11" t="s">
        <v>420</v>
      </c>
      <c r="AG20" s="2" t="s">
        <v>421</v>
      </c>
      <c r="AH20" s="187"/>
      <c r="AI20" s="187"/>
      <c r="AM20" s="121">
        <f>IF(AND(ISBLANK(V20),ISBLANK(V22)),0,1)</f>
        <v>0</v>
      </c>
      <c r="AN20" s="121">
        <f>IF(ISBLANK(V20),0,1)</f>
        <v>0</v>
      </c>
      <c r="AO20" s="121">
        <f>IF(ISBLANK(V22),0,1)</f>
        <v>0</v>
      </c>
      <c r="AP20" s="121">
        <f>IF(ISBLANK(V20),1,IF(ISBLANK(V22),2,3))</f>
        <v>1</v>
      </c>
      <c r="AS20" s="4"/>
    </row>
    <row r="21" spans="2:88" ht="4.95" customHeight="1" x14ac:dyDescent="0.3">
      <c r="C21" s="2"/>
      <c r="D21" s="2"/>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35"/>
      <c r="BV21" s="35"/>
      <c r="BW21" s="35"/>
      <c r="BX21" s="35"/>
      <c r="BY21" s="35"/>
      <c r="BZ21" s="35"/>
      <c r="CA21" s="35"/>
      <c r="CB21" s="35"/>
      <c r="CC21" s="35"/>
      <c r="CD21" s="35"/>
      <c r="CE21" s="35"/>
      <c r="CF21" s="35"/>
      <c r="CG21" s="35"/>
      <c r="CH21" s="35"/>
      <c r="CI21" s="35"/>
      <c r="CJ21" s="35"/>
    </row>
    <row r="22" spans="2:88" ht="15" customHeight="1" x14ac:dyDescent="0.3">
      <c r="F22" s="70"/>
      <c r="G22" s="39" t="s">
        <v>422</v>
      </c>
      <c r="V22" s="70"/>
      <c r="W22" s="11" t="s">
        <v>423</v>
      </c>
      <c r="AG22" s="2" t="s">
        <v>424</v>
      </c>
      <c r="AH22" s="187"/>
      <c r="AI22" s="187"/>
      <c r="AM22" s="121">
        <f>IF(ISBLANK(V20),0,1)</f>
        <v>0</v>
      </c>
      <c r="AN22" s="121">
        <f>IF(ISBLANK(V22),0,2)</f>
        <v>0</v>
      </c>
      <c r="AO22" s="121">
        <f>SUM(AM22:AN22)</f>
        <v>0</v>
      </c>
      <c r="AS22" s="4"/>
      <c r="AT22" s="80"/>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35"/>
      <c r="BV22" s="35"/>
      <c r="BW22" s="35"/>
      <c r="BX22" s="35"/>
      <c r="BY22" s="35"/>
      <c r="BZ22" s="35"/>
      <c r="CA22" s="35"/>
      <c r="CB22" s="35"/>
      <c r="CC22" s="35"/>
      <c r="CD22" s="35"/>
      <c r="CE22" s="35"/>
      <c r="CF22" s="35"/>
      <c r="CG22" s="35"/>
      <c r="CH22" s="35"/>
      <c r="CI22" s="35"/>
      <c r="CJ22" s="35"/>
    </row>
    <row r="23" spans="2:88" ht="4.95" customHeight="1" x14ac:dyDescent="0.3">
      <c r="AE23" s="2"/>
      <c r="AF23" s="2"/>
      <c r="AG23" s="2"/>
      <c r="AH23" s="2"/>
      <c r="AI23" s="2"/>
      <c r="AK23" s="2"/>
      <c r="AL23" s="2"/>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35"/>
      <c r="BV23" s="35"/>
      <c r="BW23" s="35"/>
      <c r="BX23" s="35"/>
      <c r="BY23" s="35"/>
      <c r="BZ23" s="35"/>
      <c r="CA23" s="35"/>
      <c r="CB23" s="35"/>
      <c r="CC23" s="35"/>
      <c r="CD23" s="35"/>
      <c r="CE23" s="35"/>
      <c r="CF23" s="35"/>
      <c r="CG23" s="35"/>
      <c r="CH23" s="35"/>
      <c r="CI23" s="35"/>
      <c r="CJ23" s="35"/>
    </row>
    <row r="24" spans="2:88" ht="15" customHeight="1" x14ac:dyDescent="0.3">
      <c r="U24" s="2" t="s">
        <v>425</v>
      </c>
      <c r="V24" s="70"/>
      <c r="W24" s="11" t="s">
        <v>426</v>
      </c>
      <c r="X24" s="139"/>
      <c r="Y24" s="70"/>
      <c r="Z24" s="11" t="s">
        <v>427</v>
      </c>
      <c r="AK24" s="2"/>
      <c r="AL24" s="2"/>
      <c r="AR24" s="24"/>
      <c r="AS24" s="140"/>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35"/>
      <c r="BV24" s="35"/>
      <c r="BW24" s="35"/>
      <c r="BX24" s="35"/>
      <c r="BY24" s="35"/>
      <c r="BZ24" s="35"/>
      <c r="CA24" s="35"/>
      <c r="CB24" s="35"/>
      <c r="CC24" s="35"/>
      <c r="CD24" s="35"/>
      <c r="CE24" s="35"/>
      <c r="CF24" s="35"/>
      <c r="CG24" s="35"/>
      <c r="CH24" s="35"/>
      <c r="CI24" s="35"/>
      <c r="CJ24" s="35"/>
    </row>
    <row r="25" spans="2:88" ht="4.95" customHeight="1" x14ac:dyDescent="0.3">
      <c r="B25" s="2"/>
      <c r="C25" s="2"/>
      <c r="D25" s="2"/>
      <c r="E25" s="2"/>
      <c r="F25" s="2"/>
      <c r="G25" s="2"/>
      <c r="AE25" s="2"/>
      <c r="AF25" s="2"/>
      <c r="AG25" s="2"/>
      <c r="AH25" s="2"/>
      <c r="AI25" s="2"/>
      <c r="AJ25" s="2"/>
      <c r="AK25" s="2"/>
      <c r="AL25" s="2"/>
      <c r="AR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35"/>
      <c r="BV25" s="35"/>
      <c r="BW25" s="35"/>
      <c r="BX25" s="35"/>
      <c r="BY25" s="35"/>
      <c r="BZ25" s="35"/>
      <c r="CA25" s="35"/>
      <c r="CB25" s="35"/>
      <c r="CC25" s="35"/>
      <c r="CD25" s="35"/>
      <c r="CE25" s="35"/>
      <c r="CF25" s="35"/>
      <c r="CG25" s="35"/>
      <c r="CH25" s="35"/>
      <c r="CI25" s="35"/>
      <c r="CJ25" s="35"/>
    </row>
    <row r="26" spans="2:88" ht="15" customHeight="1" x14ac:dyDescent="0.3">
      <c r="B26" s="70"/>
      <c r="C26" s="39" t="s">
        <v>131</v>
      </c>
      <c r="E26" s="70"/>
      <c r="F26" s="39" t="s">
        <v>130</v>
      </c>
      <c r="G26" s="2"/>
      <c r="H26" s="39" t="s">
        <v>435</v>
      </c>
      <c r="AE26" s="2"/>
      <c r="AK26" s="2"/>
      <c r="AL26" s="2"/>
      <c r="AM26" s="121">
        <f>IF(AND(ISBLANK(B26),ISBLANK(E26)),1,2)</f>
        <v>1</v>
      </c>
      <c r="AN26" s="121">
        <f>IF(ISBLANK(B26),1,2)</f>
        <v>1</v>
      </c>
      <c r="AO26" s="121">
        <f>IF(ISBLANK(B26),0,2)</f>
        <v>0</v>
      </c>
      <c r="AP26" s="121">
        <f>IF(ISBLANK(B26),1,IF(ISBLANK(E26),2,3))</f>
        <v>1</v>
      </c>
      <c r="AR26" s="24"/>
      <c r="AS26" s="24"/>
      <c r="AT26" s="80"/>
      <c r="AU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35"/>
      <c r="BV26" s="35"/>
      <c r="BW26" s="35"/>
      <c r="BX26" s="35"/>
      <c r="BY26" s="35"/>
      <c r="BZ26" s="35"/>
      <c r="CA26" s="35"/>
      <c r="CB26" s="35"/>
      <c r="CC26" s="35"/>
      <c r="CD26" s="35"/>
      <c r="CE26" s="35"/>
      <c r="CF26" s="35"/>
      <c r="CG26" s="35"/>
      <c r="CH26" s="35"/>
      <c r="CI26" s="35"/>
      <c r="CJ26" s="35"/>
    </row>
    <row r="27" spans="2:88" ht="4.95" customHeight="1" x14ac:dyDescent="0.3">
      <c r="B27" s="2"/>
      <c r="C27" s="2"/>
      <c r="D27" s="2"/>
      <c r="E27" s="2"/>
      <c r="F27" s="2"/>
      <c r="G27" s="2"/>
      <c r="AE27" s="2"/>
      <c r="AF27" s="2"/>
      <c r="AG27" s="2"/>
      <c r="AH27" s="2"/>
      <c r="AI27" s="2"/>
      <c r="AJ27" s="2"/>
      <c r="AK27" s="2"/>
      <c r="AL27" s="2"/>
      <c r="AR27" s="24"/>
      <c r="AS27" s="24"/>
      <c r="AT27" s="80"/>
      <c r="AU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35"/>
      <c r="BV27" s="35"/>
      <c r="BW27" s="35"/>
      <c r="BX27" s="35"/>
      <c r="BY27" s="35"/>
      <c r="BZ27" s="35"/>
      <c r="CA27" s="35"/>
      <c r="CB27" s="35"/>
      <c r="CC27" s="35"/>
      <c r="CD27" s="35"/>
      <c r="CE27" s="35"/>
      <c r="CF27" s="35"/>
      <c r="CG27" s="35"/>
      <c r="CH27" s="35"/>
      <c r="CI27" s="35"/>
      <c r="CJ27" s="35"/>
    </row>
    <row r="28" spans="2:88" ht="15" customHeight="1" x14ac:dyDescent="0.3">
      <c r="B28" s="70"/>
      <c r="C28" s="39" t="s">
        <v>131</v>
      </c>
      <c r="E28" s="70"/>
      <c r="F28" s="39" t="s">
        <v>130</v>
      </c>
      <c r="G28" s="2"/>
      <c r="H28" s="39" t="s">
        <v>428</v>
      </c>
      <c r="AK28" s="2"/>
      <c r="AL28" s="2"/>
      <c r="AM28" s="121">
        <f>IF(AND(ISBLANK(B28),ISBLANK(E28)),1,2)</f>
        <v>1</v>
      </c>
      <c r="AN28" s="121">
        <f>IF(ISBLANK(B28),1,2)</f>
        <v>1</v>
      </c>
      <c r="AO28" s="121">
        <f>IF(ISBLANK(B28),0,2)</f>
        <v>0</v>
      </c>
      <c r="AP28" s="121">
        <f>IF(ISBLANK(B28),1,IF(ISBLANK(E28),2,3))</f>
        <v>1</v>
      </c>
      <c r="AR28" s="35"/>
      <c r="AS28" s="24"/>
      <c r="AT28" s="80"/>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35"/>
      <c r="BV28" s="35"/>
      <c r="BW28" s="35"/>
      <c r="BX28" s="35"/>
      <c r="BY28" s="35"/>
      <c r="BZ28" s="35"/>
      <c r="CA28" s="35"/>
      <c r="CB28" s="35"/>
      <c r="CC28" s="35"/>
      <c r="CD28" s="35"/>
      <c r="CE28" s="35"/>
      <c r="CF28" s="35"/>
      <c r="CG28" s="35"/>
      <c r="CH28" s="35"/>
      <c r="CI28" s="35"/>
      <c r="CJ28" s="35"/>
    </row>
    <row r="29" spans="2:88" ht="4.95" customHeight="1" x14ac:dyDescent="0.3">
      <c r="B29" s="2"/>
      <c r="C29" s="2"/>
      <c r="D29" s="2"/>
      <c r="E29" s="2"/>
      <c r="F29" s="2"/>
      <c r="G29" s="2"/>
      <c r="AE29" s="2"/>
      <c r="AF29" s="2"/>
      <c r="AG29" s="2"/>
      <c r="AH29" s="2"/>
      <c r="AI29" s="2"/>
      <c r="AJ29" s="2"/>
      <c r="AK29" s="2"/>
      <c r="AL29" s="2"/>
      <c r="AR29" s="35"/>
      <c r="AS29" s="24"/>
      <c r="AT29" s="80"/>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35"/>
      <c r="BV29" s="35"/>
      <c r="BW29" s="35"/>
      <c r="BX29" s="35"/>
      <c r="BY29" s="35"/>
      <c r="BZ29" s="35"/>
      <c r="CA29" s="35"/>
      <c r="CB29" s="35"/>
      <c r="CC29" s="35"/>
      <c r="CD29" s="35"/>
      <c r="CE29" s="35"/>
      <c r="CF29" s="35"/>
      <c r="CG29" s="35"/>
      <c r="CH29" s="35"/>
      <c r="CI29" s="35"/>
      <c r="CJ29" s="35"/>
    </row>
    <row r="30" spans="2:88" ht="15" customHeight="1" x14ac:dyDescent="0.3">
      <c r="B30" s="70"/>
      <c r="C30" s="39" t="s">
        <v>131</v>
      </c>
      <c r="E30" s="70"/>
      <c r="F30" s="39" t="s">
        <v>130</v>
      </c>
      <c r="G30" s="2"/>
      <c r="H30" s="39" t="s">
        <v>436</v>
      </c>
      <c r="AJ30" s="2"/>
      <c r="AK30" s="2"/>
      <c r="AL30" s="2"/>
      <c r="AM30" s="121">
        <f>IF(AND(ISBLANK(B30),ISBLANK(E30)),1,2)</f>
        <v>1</v>
      </c>
      <c r="AN30" s="121">
        <f>IF(ISBLANK(B30),1,2)</f>
        <v>1</v>
      </c>
      <c r="AO30" s="121">
        <f>IF(ISBLANK(B30),0,2)</f>
        <v>0</v>
      </c>
      <c r="AP30" s="121">
        <f>IF(ISBLANK(B30),1,IF(ISBLANK(E30),2,3))</f>
        <v>1</v>
      </c>
      <c r="AR30" s="35"/>
      <c r="AS30" s="24"/>
      <c r="AT30" s="80"/>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35"/>
      <c r="BV30" s="35"/>
      <c r="BW30" s="35"/>
      <c r="BX30" s="35"/>
      <c r="BY30" s="35"/>
      <c r="BZ30" s="35"/>
      <c r="CA30" s="35"/>
      <c r="CB30" s="35"/>
      <c r="CC30" s="35"/>
      <c r="CD30" s="35"/>
      <c r="CE30" s="35"/>
      <c r="CF30" s="35"/>
      <c r="CG30" s="35"/>
      <c r="CH30" s="35"/>
      <c r="CI30" s="35"/>
      <c r="CJ30" s="35"/>
    </row>
    <row r="31" spans="2:88" ht="4.95" customHeight="1" x14ac:dyDescent="0.3">
      <c r="B31" s="2"/>
      <c r="C31" s="2"/>
      <c r="D31" s="2"/>
      <c r="E31" s="2"/>
      <c r="F31" s="2"/>
      <c r="G31" s="2"/>
      <c r="AE31" s="2"/>
      <c r="AF31" s="2"/>
      <c r="AG31" s="2"/>
      <c r="AJ31" s="2"/>
      <c r="AK31" s="2"/>
      <c r="AL31" s="2"/>
      <c r="AR31" s="35"/>
      <c r="AS31" s="24"/>
      <c r="AT31" s="80"/>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35"/>
      <c r="BV31" s="35"/>
      <c r="BW31" s="35"/>
      <c r="BX31" s="35"/>
      <c r="BY31" s="35"/>
      <c r="BZ31" s="35"/>
      <c r="CA31" s="35"/>
      <c r="CB31" s="35"/>
      <c r="CC31" s="35"/>
      <c r="CD31" s="35"/>
      <c r="CE31" s="35"/>
      <c r="CF31" s="35"/>
      <c r="CG31" s="35"/>
      <c r="CH31" s="35"/>
      <c r="CI31" s="35"/>
      <c r="CJ31" s="35"/>
    </row>
    <row r="32" spans="2:88" ht="15" customHeight="1" x14ac:dyDescent="0.3">
      <c r="B32" s="2"/>
      <c r="C32" s="2"/>
      <c r="D32" s="2"/>
      <c r="E32" s="2"/>
      <c r="F32" s="2"/>
      <c r="G32" s="2"/>
      <c r="K32" s="167" t="str">
        <f>IF($AO$22=1,"Phase",IF($AO$22=2,"Lot","Type?"))</f>
        <v>Type?</v>
      </c>
      <c r="L32" s="167"/>
      <c r="M32" s="167"/>
      <c r="R32" s="39" t="s">
        <v>478</v>
      </c>
      <c r="Y32" s="39" t="s">
        <v>479</v>
      </c>
      <c r="AE32" s="2"/>
      <c r="AF32" s="2"/>
      <c r="AG32" s="2"/>
      <c r="AJ32" s="2"/>
      <c r="AK32" s="2"/>
      <c r="AL32" s="2"/>
      <c r="AR32" s="35"/>
      <c r="AS32" s="24"/>
      <c r="AT32" s="80"/>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35"/>
      <c r="BV32" s="35"/>
      <c r="BW32" s="35"/>
      <c r="BX32" s="35"/>
      <c r="BY32" s="35"/>
      <c r="BZ32" s="35"/>
      <c r="CA32" s="35"/>
      <c r="CB32" s="35"/>
      <c r="CC32" s="35"/>
      <c r="CD32" s="35"/>
      <c r="CE32" s="35"/>
      <c r="CF32" s="35"/>
      <c r="CG32" s="35"/>
      <c r="CH32" s="35"/>
      <c r="CI32" s="35"/>
      <c r="CJ32" s="35"/>
    </row>
    <row r="33" spans="2:88" ht="15" customHeight="1" x14ac:dyDescent="0.3">
      <c r="B33" s="167" t="str">
        <f>IF($AO$22=1,"Phase",IF($AO$22=2,"Lot","Type?"))</f>
        <v>Type?</v>
      </c>
      <c r="C33" s="167"/>
      <c r="D33" s="167"/>
      <c r="F33" s="167" t="str">
        <f>IF($AO$22=1,"No. Lots",IF($AO$22=2,"Lot ID","Type?"))</f>
        <v>Type?</v>
      </c>
      <c r="G33" s="167"/>
      <c r="H33" s="167"/>
      <c r="K33" s="167" t="s">
        <v>18</v>
      </c>
      <c r="L33" s="167"/>
      <c r="M33" s="167"/>
      <c r="R33" s="167" t="s">
        <v>429</v>
      </c>
      <c r="S33" s="167"/>
      <c r="T33" s="167"/>
      <c r="Y33" s="167" t="s">
        <v>429</v>
      </c>
      <c r="Z33" s="167"/>
      <c r="AA33" s="167"/>
      <c r="AD33" s="39" t="s">
        <v>430</v>
      </c>
      <c r="AM33" s="23" t="str">
        <f>B33</f>
        <v>Type?</v>
      </c>
      <c r="AN33" s="23" t="str">
        <f>F33</f>
        <v>Type?</v>
      </c>
      <c r="AP33" s="23" t="s">
        <v>431</v>
      </c>
      <c r="AR33" s="35"/>
      <c r="AS33" s="24"/>
      <c r="AT33" s="80"/>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35"/>
      <c r="BV33" s="35"/>
      <c r="BW33" s="35"/>
      <c r="BX33" s="35"/>
      <c r="BY33" s="35"/>
      <c r="BZ33" s="35"/>
      <c r="CA33" s="35"/>
      <c r="CB33" s="35"/>
      <c r="CC33" s="35"/>
      <c r="CD33" s="35"/>
      <c r="CE33" s="35"/>
      <c r="CF33" s="35"/>
      <c r="CG33" s="35"/>
      <c r="CH33" s="35"/>
      <c r="CI33" s="35"/>
      <c r="CJ33" s="35"/>
    </row>
    <row r="34" spans="2:88" ht="15" customHeight="1" x14ac:dyDescent="0.3">
      <c r="C34" s="4">
        <v>1</v>
      </c>
      <c r="F34" s="210"/>
      <c r="G34" s="210"/>
      <c r="H34" s="210"/>
      <c r="K34" s="211"/>
      <c r="L34" s="211"/>
      <c r="M34" s="211"/>
      <c r="N34" s="206" t="str">
        <f>IF($AQ$18=0,"Units?",IF($AQ$18=1,"ac",IF($AQ$18=2,"sq-ft","Error")))</f>
        <v>Units?</v>
      </c>
      <c r="O34" s="206"/>
      <c r="R34" s="211"/>
      <c r="S34" s="211"/>
      <c r="T34" s="211"/>
      <c r="U34" s="206" t="str">
        <f>IF($AQ$18=0,"Units?",IF($AQ$18=1,"ac",IF($AQ$18=2,"sq-ft","Error")))</f>
        <v>Units?</v>
      </c>
      <c r="V34" s="206"/>
      <c r="Y34" s="211"/>
      <c r="Z34" s="211"/>
      <c r="AA34" s="211"/>
      <c r="AB34" s="206" t="str">
        <f>IF($AQ$18=0,"Units?",IF($AQ$18=1,"ac",IF($AQ$18=2,"sq-ft","Error")))</f>
        <v>Units?</v>
      </c>
      <c r="AC34" s="206"/>
      <c r="AE34" s="70"/>
      <c r="AF34" s="39" t="s">
        <v>130</v>
      </c>
      <c r="AH34" s="70"/>
      <c r="AI34" s="39" t="s">
        <v>131</v>
      </c>
      <c r="AM34" s="121">
        <f>IF(OR(C34&lt;=$AH$20,C34&lt;=$AH$22),2,1)</f>
        <v>1</v>
      </c>
      <c r="AN34" s="121">
        <f>IF(ISBLANK(F34),1,2)</f>
        <v>1</v>
      </c>
      <c r="AP34" s="121">
        <f>IF(AND(ISBLANK(AE34),ISBLANK(AH34)),0,1)</f>
        <v>0</v>
      </c>
      <c r="AQ34" s="121">
        <f>IF(ISBLANK(AE34),1,IF(ISBLANK(AH34),2,3))</f>
        <v>1</v>
      </c>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35"/>
      <c r="BV34" s="35"/>
      <c r="BW34" s="35"/>
      <c r="BX34" s="35"/>
      <c r="BY34" s="35"/>
      <c r="BZ34" s="35"/>
      <c r="CA34" s="35"/>
      <c r="CB34" s="35"/>
      <c r="CC34" s="35"/>
      <c r="CD34" s="35"/>
      <c r="CE34" s="35"/>
      <c r="CF34" s="35"/>
      <c r="CG34" s="35"/>
      <c r="CH34" s="35"/>
      <c r="CI34" s="35"/>
      <c r="CJ34" s="35"/>
    </row>
    <row r="35" spans="2:88" ht="4.95" customHeight="1" x14ac:dyDescent="0.3">
      <c r="C35" s="4"/>
      <c r="F35" s="48"/>
      <c r="G35" s="48"/>
      <c r="K35" s="141"/>
      <c r="L35" s="141"/>
      <c r="M35" s="141"/>
      <c r="N35" s="11"/>
      <c r="O35" s="11"/>
      <c r="R35" s="141"/>
      <c r="S35" s="141"/>
      <c r="T35" s="141"/>
      <c r="U35" s="11"/>
      <c r="V35" s="11"/>
      <c r="Y35" s="141"/>
      <c r="Z35" s="141"/>
      <c r="AA35" s="141"/>
      <c r="AB35" s="11"/>
      <c r="AC35" s="11"/>
      <c r="AE35" s="142"/>
      <c r="AH35" s="142"/>
      <c r="AM35" s="135"/>
      <c r="AN35" s="135"/>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35"/>
      <c r="BV35" s="35"/>
      <c r="BW35" s="35"/>
      <c r="BX35" s="35"/>
      <c r="BY35" s="35"/>
      <c r="BZ35" s="35"/>
      <c r="CA35" s="35"/>
      <c r="CB35" s="35"/>
      <c r="CC35" s="35"/>
      <c r="CD35" s="35"/>
      <c r="CE35" s="35"/>
      <c r="CF35" s="35"/>
      <c r="CG35" s="35"/>
      <c r="CH35" s="35"/>
      <c r="CI35" s="35"/>
      <c r="CJ35" s="35"/>
    </row>
    <row r="36" spans="2:88" ht="15" customHeight="1" x14ac:dyDescent="0.3">
      <c r="C36" s="4">
        <f>C34+1</f>
        <v>2</v>
      </c>
      <c r="F36" s="210"/>
      <c r="G36" s="210"/>
      <c r="H36" s="210"/>
      <c r="K36" s="211"/>
      <c r="L36" s="211"/>
      <c r="M36" s="211"/>
      <c r="N36" s="206" t="str">
        <f>IF($AQ$18=0,"Units?",IF($AQ$18=1,"ac",IF($AQ$18=2,"sq-ft","Error")))</f>
        <v>Units?</v>
      </c>
      <c r="O36" s="206"/>
      <c r="R36" s="211"/>
      <c r="S36" s="211"/>
      <c r="T36" s="211"/>
      <c r="U36" s="206" t="str">
        <f>IF($AQ$18=0,"Units?",IF($AQ$18=1,"ac",IF($AQ$18=2,"sq-ft","Error")))</f>
        <v>Units?</v>
      </c>
      <c r="V36" s="206"/>
      <c r="Y36" s="211"/>
      <c r="Z36" s="211"/>
      <c r="AA36" s="211"/>
      <c r="AB36" s="206" t="str">
        <f>IF($AQ$18=0,"Units?",IF($AQ$18=1,"ac",IF($AQ$18=2,"sq-ft","Error")))</f>
        <v>Units?</v>
      </c>
      <c r="AC36" s="206"/>
      <c r="AE36" s="70"/>
      <c r="AF36" s="39" t="s">
        <v>130</v>
      </c>
      <c r="AH36" s="70"/>
      <c r="AI36" s="39" t="s">
        <v>131</v>
      </c>
      <c r="AM36" s="121">
        <f>IF(OR(C36&lt;=$AH$20,C36&lt;=$AH$22),2,1)</f>
        <v>1</v>
      </c>
      <c r="AN36" s="143">
        <f>IF(ISBLANK(F36),1,2)</f>
        <v>1</v>
      </c>
      <c r="AP36" s="121">
        <f>IF(AND(ISBLANK(AE36),ISBLANK(AH36)),0,1)</f>
        <v>0</v>
      </c>
      <c r="AQ36" s="121">
        <f>IF(ISBLANK(AE36),1,IF(ISBLANK(AH36),2,3))</f>
        <v>1</v>
      </c>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35"/>
      <c r="BV36" s="35"/>
      <c r="BW36" s="35"/>
      <c r="BX36" s="35"/>
      <c r="BY36" s="35"/>
      <c r="BZ36" s="35"/>
      <c r="CA36" s="35"/>
      <c r="CB36" s="35"/>
      <c r="CC36" s="35"/>
      <c r="CD36" s="35"/>
      <c r="CE36" s="35"/>
      <c r="CF36" s="35"/>
      <c r="CG36" s="35"/>
      <c r="CH36" s="35"/>
      <c r="CI36" s="35"/>
      <c r="CJ36" s="35"/>
    </row>
    <row r="37" spans="2:88" ht="4.95" customHeight="1" x14ac:dyDescent="0.3">
      <c r="C37" s="4"/>
      <c r="F37" s="48"/>
      <c r="G37" s="48"/>
      <c r="K37" s="141"/>
      <c r="L37" s="141"/>
      <c r="M37" s="141"/>
      <c r="N37" s="11"/>
      <c r="O37" s="11"/>
      <c r="R37" s="141"/>
      <c r="S37" s="141"/>
      <c r="T37" s="141"/>
      <c r="U37" s="11"/>
      <c r="V37" s="11"/>
      <c r="Y37" s="141"/>
      <c r="Z37" s="141"/>
      <c r="AA37" s="141"/>
      <c r="AB37" s="11"/>
      <c r="AC37" s="11"/>
      <c r="AE37" s="142"/>
      <c r="AH37" s="142"/>
      <c r="AM37" s="135"/>
      <c r="AN37" s="135"/>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35"/>
      <c r="BV37" s="35"/>
      <c r="BW37" s="35"/>
      <c r="BX37" s="35"/>
      <c r="BY37" s="35"/>
      <c r="BZ37" s="35"/>
      <c r="CA37" s="35"/>
      <c r="CB37" s="35"/>
      <c r="CC37" s="35"/>
      <c r="CD37" s="35"/>
      <c r="CE37" s="35"/>
      <c r="CF37" s="35"/>
      <c r="CG37" s="35"/>
      <c r="CH37" s="35"/>
      <c r="CI37" s="35"/>
      <c r="CJ37" s="35"/>
    </row>
    <row r="38" spans="2:88" ht="15" customHeight="1" x14ac:dyDescent="0.3">
      <c r="C38" s="4">
        <f>C36+1</f>
        <v>3</v>
      </c>
      <c r="F38" s="210"/>
      <c r="G38" s="210"/>
      <c r="H38" s="210"/>
      <c r="K38" s="211"/>
      <c r="L38" s="211"/>
      <c r="M38" s="211"/>
      <c r="N38" s="206" t="str">
        <f>IF($AQ$18=0,"Units?",IF($AQ$18=1,"ac",IF($AQ$18=2,"sq-ft","Error")))</f>
        <v>Units?</v>
      </c>
      <c r="O38" s="206"/>
      <c r="R38" s="211"/>
      <c r="S38" s="211"/>
      <c r="T38" s="211"/>
      <c r="U38" s="206" t="str">
        <f>IF($AQ$18=0,"Units?",IF($AQ$18=1,"ac",IF($AQ$18=2,"sq-ft","Error")))</f>
        <v>Units?</v>
      </c>
      <c r="V38" s="206"/>
      <c r="Y38" s="211"/>
      <c r="Z38" s="211"/>
      <c r="AA38" s="211"/>
      <c r="AB38" s="206" t="str">
        <f>IF($AQ$18=0,"Units?",IF($AQ$18=1,"ac",IF($AQ$18=2,"sq-ft","Error")))</f>
        <v>Units?</v>
      </c>
      <c r="AC38" s="206"/>
      <c r="AE38" s="70"/>
      <c r="AF38" s="39" t="s">
        <v>130</v>
      </c>
      <c r="AH38" s="70"/>
      <c r="AI38" s="39" t="s">
        <v>131</v>
      </c>
      <c r="AM38" s="121">
        <f>IF(OR(C38&lt;=$AH$20,C38&lt;=$AH$22),2,1)</f>
        <v>1</v>
      </c>
      <c r="AN38" s="121">
        <f>IF(ISBLANK(F38),1,2)</f>
        <v>1</v>
      </c>
      <c r="AP38" s="121">
        <f>IF(AND(ISBLANK(AE38),ISBLANK(AH38)),0,1)</f>
        <v>0</v>
      </c>
      <c r="AQ38" s="121">
        <f>IF(ISBLANK(AE38),1,IF(ISBLANK(AH38),2,3))</f>
        <v>1</v>
      </c>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35"/>
      <c r="BV38" s="35"/>
      <c r="BW38" s="35"/>
      <c r="BX38" s="35"/>
      <c r="BY38" s="35"/>
      <c r="BZ38" s="35"/>
      <c r="CA38" s="35"/>
      <c r="CB38" s="35"/>
      <c r="CC38" s="35"/>
      <c r="CD38" s="35"/>
      <c r="CE38" s="35"/>
      <c r="CF38" s="35"/>
      <c r="CG38" s="35"/>
      <c r="CH38" s="35"/>
      <c r="CI38" s="35"/>
      <c r="CJ38" s="35"/>
    </row>
    <row r="39" spans="2:88" ht="4.95" customHeight="1" x14ac:dyDescent="0.3">
      <c r="C39" s="4"/>
      <c r="F39" s="48"/>
      <c r="G39" s="48"/>
      <c r="K39" s="141"/>
      <c r="L39" s="141"/>
      <c r="M39" s="141"/>
      <c r="N39" s="11"/>
      <c r="O39" s="11"/>
      <c r="R39" s="141"/>
      <c r="S39" s="141"/>
      <c r="T39" s="141"/>
      <c r="U39" s="11"/>
      <c r="V39" s="11"/>
      <c r="Y39" s="141"/>
      <c r="Z39" s="141"/>
      <c r="AA39" s="141"/>
      <c r="AB39" s="11"/>
      <c r="AC39" s="11"/>
      <c r="AE39" s="142"/>
      <c r="AH39" s="142"/>
      <c r="AM39" s="135"/>
      <c r="AN39" s="135"/>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35"/>
      <c r="BV39" s="35"/>
      <c r="BW39" s="35"/>
      <c r="BX39" s="35"/>
      <c r="BY39" s="35"/>
      <c r="BZ39" s="35"/>
      <c r="CA39" s="35"/>
      <c r="CB39" s="35"/>
      <c r="CC39" s="35"/>
      <c r="CD39" s="35"/>
      <c r="CE39" s="35"/>
      <c r="CF39" s="35"/>
      <c r="CG39" s="35"/>
      <c r="CH39" s="35"/>
      <c r="CI39" s="35"/>
      <c r="CJ39" s="35"/>
    </row>
    <row r="40" spans="2:88" ht="15" customHeight="1" x14ac:dyDescent="0.3">
      <c r="C40" s="4">
        <f>C38+1</f>
        <v>4</v>
      </c>
      <c r="F40" s="210"/>
      <c r="G40" s="210"/>
      <c r="H40" s="210"/>
      <c r="K40" s="211"/>
      <c r="L40" s="211"/>
      <c r="M40" s="211"/>
      <c r="N40" s="206" t="str">
        <f>IF($AQ$18=0,"Units?",IF($AQ$18=1,"ac",IF($AQ$18=2,"sq-ft","Error")))</f>
        <v>Units?</v>
      </c>
      <c r="O40" s="206"/>
      <c r="R40" s="211"/>
      <c r="S40" s="211"/>
      <c r="T40" s="211"/>
      <c r="U40" s="206" t="str">
        <f>IF($AQ$18=0,"Units?",IF($AQ$18=1,"ac",IF($AQ$18=2,"sq-ft","Error")))</f>
        <v>Units?</v>
      </c>
      <c r="V40" s="206"/>
      <c r="Y40" s="211"/>
      <c r="Z40" s="211"/>
      <c r="AA40" s="211"/>
      <c r="AB40" s="206" t="str">
        <f>IF($AQ$18=0,"Units?",IF($AQ$18=1,"ac",IF($AQ$18=2,"sq-ft","Error")))</f>
        <v>Units?</v>
      </c>
      <c r="AC40" s="206"/>
      <c r="AE40" s="70"/>
      <c r="AF40" s="39" t="s">
        <v>130</v>
      </c>
      <c r="AH40" s="70"/>
      <c r="AI40" s="39" t="s">
        <v>131</v>
      </c>
      <c r="AM40" s="121">
        <f>IF(OR(C40&lt;=$AH$20,C40&lt;=$AH$22),2,1)</f>
        <v>1</v>
      </c>
      <c r="AN40" s="121">
        <f>IF(ISBLANK(F40),1,2)</f>
        <v>1</v>
      </c>
      <c r="AP40" s="121">
        <f>IF(AND(ISBLANK(AE40),ISBLANK(AH40)),0,1)</f>
        <v>0</v>
      </c>
      <c r="AQ40" s="121">
        <f>IF(ISBLANK(AE40),1,IF(ISBLANK(AH40),2,3))</f>
        <v>1</v>
      </c>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35"/>
      <c r="BV40" s="35"/>
      <c r="BW40" s="35"/>
      <c r="BX40" s="35"/>
      <c r="BY40" s="35"/>
      <c r="BZ40" s="35"/>
      <c r="CA40" s="35"/>
      <c r="CB40" s="35"/>
      <c r="CC40" s="35"/>
      <c r="CD40" s="35"/>
      <c r="CE40" s="35"/>
      <c r="CF40" s="35"/>
      <c r="CG40" s="35"/>
      <c r="CH40" s="35"/>
      <c r="CI40" s="35"/>
      <c r="CJ40" s="35"/>
    </row>
    <row r="41" spans="2:88" ht="4.95" customHeight="1" x14ac:dyDescent="0.3">
      <c r="C41" s="4"/>
      <c r="F41" s="48"/>
      <c r="G41" s="48"/>
      <c r="K41" s="141"/>
      <c r="L41" s="141"/>
      <c r="M41" s="141"/>
      <c r="N41" s="11"/>
      <c r="O41" s="11"/>
      <c r="R41" s="141"/>
      <c r="S41" s="141"/>
      <c r="T41" s="141"/>
      <c r="U41" s="11"/>
      <c r="V41" s="11"/>
      <c r="Y41" s="141"/>
      <c r="Z41" s="141"/>
      <c r="AA41" s="141"/>
      <c r="AB41" s="11"/>
      <c r="AC41" s="11"/>
      <c r="AE41" s="142"/>
      <c r="AH41" s="142"/>
      <c r="AM41" s="135"/>
      <c r="AN41" s="135"/>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35"/>
      <c r="BV41" s="35"/>
      <c r="BW41" s="35"/>
      <c r="BX41" s="35"/>
      <c r="BY41" s="35"/>
      <c r="BZ41" s="35"/>
      <c r="CA41" s="35"/>
      <c r="CB41" s="35"/>
      <c r="CC41" s="35"/>
      <c r="CD41" s="35"/>
      <c r="CE41" s="35"/>
      <c r="CF41" s="35"/>
      <c r="CG41" s="35"/>
      <c r="CH41" s="35"/>
      <c r="CI41" s="35"/>
      <c r="CJ41" s="35"/>
    </row>
    <row r="42" spans="2:88" ht="15" customHeight="1" x14ac:dyDescent="0.3">
      <c r="C42" s="4">
        <f>C40+1</f>
        <v>5</v>
      </c>
      <c r="F42" s="210"/>
      <c r="G42" s="210"/>
      <c r="H42" s="210"/>
      <c r="K42" s="211"/>
      <c r="L42" s="211"/>
      <c r="M42" s="211"/>
      <c r="N42" s="206" t="str">
        <f>IF($AQ$18=0,"Units?",IF($AQ$18=1,"ac",IF($AQ$18=2,"sq-ft","Error")))</f>
        <v>Units?</v>
      </c>
      <c r="O42" s="206"/>
      <c r="R42" s="211"/>
      <c r="S42" s="211"/>
      <c r="T42" s="211"/>
      <c r="U42" s="206" t="str">
        <f>IF($AQ$18=0,"Units?",IF($AQ$18=1,"ac",IF($AQ$18=2,"sq-ft","Error")))</f>
        <v>Units?</v>
      </c>
      <c r="V42" s="206"/>
      <c r="Y42" s="211"/>
      <c r="Z42" s="211"/>
      <c r="AA42" s="211"/>
      <c r="AB42" s="206" t="str">
        <f>IF($AQ$18=0,"Units?",IF($AQ$18=1,"ac",IF($AQ$18=2,"sq-ft","Error")))</f>
        <v>Units?</v>
      </c>
      <c r="AC42" s="206"/>
      <c r="AE42" s="70"/>
      <c r="AF42" s="39" t="s">
        <v>130</v>
      </c>
      <c r="AH42" s="70"/>
      <c r="AI42" s="39" t="s">
        <v>131</v>
      </c>
      <c r="AM42" s="121">
        <f>IF(OR(C42&lt;=$AH$20,C42&lt;=$AH$22),2,1)</f>
        <v>1</v>
      </c>
      <c r="AN42" s="121">
        <f>IF(ISBLANK(F42),1,2)</f>
        <v>1</v>
      </c>
      <c r="AP42" s="121">
        <f>IF(AND(ISBLANK(AE42),ISBLANK(AH42)),0,1)</f>
        <v>0</v>
      </c>
      <c r="AQ42" s="121">
        <f>IF(ISBLANK(AE42),1,IF(ISBLANK(AH42),2,3))</f>
        <v>1</v>
      </c>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35"/>
      <c r="BV42" s="35"/>
      <c r="BW42" s="35"/>
      <c r="BX42" s="35"/>
      <c r="BY42" s="35"/>
      <c r="BZ42" s="35"/>
      <c r="CA42" s="35"/>
      <c r="CB42" s="35"/>
      <c r="CC42" s="35"/>
      <c r="CD42" s="35"/>
      <c r="CE42" s="35"/>
      <c r="CF42" s="35"/>
      <c r="CG42" s="35"/>
      <c r="CH42" s="35"/>
      <c r="CI42" s="35"/>
      <c r="CJ42" s="35"/>
    </row>
    <row r="43" spans="2:88" ht="4.95" customHeight="1" x14ac:dyDescent="0.3">
      <c r="C43" s="4"/>
      <c r="F43" s="48"/>
      <c r="G43" s="48"/>
      <c r="K43" s="141"/>
      <c r="L43" s="141"/>
      <c r="M43" s="141"/>
      <c r="N43" s="11"/>
      <c r="O43" s="11"/>
      <c r="R43" s="141"/>
      <c r="S43" s="141"/>
      <c r="T43" s="141"/>
      <c r="U43" s="11"/>
      <c r="V43" s="11"/>
      <c r="Y43" s="141"/>
      <c r="Z43" s="141"/>
      <c r="AA43" s="141"/>
      <c r="AB43" s="11"/>
      <c r="AC43" s="11"/>
      <c r="AE43" s="142"/>
      <c r="AH43" s="142"/>
      <c r="AM43" s="135"/>
      <c r="AN43" s="135"/>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35"/>
      <c r="BV43" s="35"/>
      <c r="BW43" s="35"/>
      <c r="BX43" s="35"/>
      <c r="BY43" s="35"/>
      <c r="BZ43" s="35"/>
      <c r="CA43" s="35"/>
      <c r="CB43" s="35"/>
      <c r="CC43" s="35"/>
      <c r="CD43" s="35"/>
      <c r="CE43" s="35"/>
      <c r="CF43" s="35"/>
      <c r="CG43" s="35"/>
      <c r="CH43" s="35"/>
      <c r="CI43" s="35"/>
      <c r="CJ43" s="35"/>
    </row>
    <row r="44" spans="2:88" ht="15" customHeight="1" x14ac:dyDescent="0.3">
      <c r="C44" s="4">
        <f>C42+1</f>
        <v>6</v>
      </c>
      <c r="F44" s="210"/>
      <c r="G44" s="210"/>
      <c r="H44" s="210"/>
      <c r="K44" s="211"/>
      <c r="L44" s="211"/>
      <c r="M44" s="211"/>
      <c r="N44" s="206" t="str">
        <f>IF($AQ$18=0,"Units?",IF($AQ$18=1,"ac",IF($AQ$18=2,"sq-ft","Error")))</f>
        <v>Units?</v>
      </c>
      <c r="O44" s="206"/>
      <c r="R44" s="211"/>
      <c r="S44" s="211"/>
      <c r="T44" s="211"/>
      <c r="U44" s="206" t="str">
        <f>IF($AQ$18=0,"Units?",IF($AQ$18=1,"ac",IF($AQ$18=2,"sq-ft","Error")))</f>
        <v>Units?</v>
      </c>
      <c r="V44" s="206"/>
      <c r="Y44" s="211"/>
      <c r="Z44" s="211"/>
      <c r="AA44" s="211"/>
      <c r="AB44" s="206" t="str">
        <f>IF($AQ$18=0,"Units?",IF($AQ$18=1,"ac",IF($AQ$18=2,"sq-ft","Error")))</f>
        <v>Units?</v>
      </c>
      <c r="AC44" s="206"/>
      <c r="AE44" s="70"/>
      <c r="AF44" s="39" t="s">
        <v>130</v>
      </c>
      <c r="AH44" s="70"/>
      <c r="AI44" s="39" t="s">
        <v>131</v>
      </c>
      <c r="AM44" s="121">
        <f>IF(OR(C44&lt;=$AH$20,C44&lt;=$AH$22),2,1)</f>
        <v>1</v>
      </c>
      <c r="AN44" s="121">
        <f>IF(ISBLANK(F44),1,2)</f>
        <v>1</v>
      </c>
      <c r="AP44" s="121">
        <f>IF(AND(ISBLANK(AE44),ISBLANK(AH44)),0,1)</f>
        <v>0</v>
      </c>
      <c r="AQ44" s="121">
        <f>IF(ISBLANK(AE44),1,IF(ISBLANK(AH44),2,3))</f>
        <v>1</v>
      </c>
      <c r="AR44" s="35"/>
      <c r="AS44" s="24"/>
      <c r="AT44" s="80"/>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35"/>
      <c r="BV44" s="35"/>
      <c r="BW44" s="35"/>
      <c r="BX44" s="35"/>
      <c r="BY44" s="35"/>
      <c r="BZ44" s="35"/>
      <c r="CA44" s="35"/>
      <c r="CB44" s="35"/>
      <c r="CC44" s="35"/>
      <c r="CD44" s="35"/>
      <c r="CE44" s="35"/>
      <c r="CF44" s="35"/>
      <c r="CG44" s="35"/>
      <c r="CH44" s="35"/>
      <c r="CI44" s="35"/>
      <c r="CJ44" s="35"/>
    </row>
    <row r="45" spans="2:88" ht="4.95" customHeight="1" x14ac:dyDescent="0.3">
      <c r="C45" s="4"/>
      <c r="F45" s="48"/>
      <c r="G45" s="48"/>
      <c r="K45" s="141"/>
      <c r="L45" s="141"/>
      <c r="M45" s="141"/>
      <c r="N45" s="11"/>
      <c r="O45" s="11"/>
      <c r="R45" s="141"/>
      <c r="S45" s="141"/>
      <c r="T45" s="141"/>
      <c r="U45" s="11"/>
      <c r="V45" s="11"/>
      <c r="Y45" s="141"/>
      <c r="Z45" s="141"/>
      <c r="AA45" s="141"/>
      <c r="AB45" s="11"/>
      <c r="AC45" s="11"/>
      <c r="AE45" s="142"/>
      <c r="AH45" s="142"/>
      <c r="AM45" s="135"/>
      <c r="AN45" s="135"/>
      <c r="AR45" s="35"/>
      <c r="AS45" s="24"/>
      <c r="AT45" s="80"/>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35"/>
      <c r="BV45" s="35"/>
      <c r="BW45" s="35"/>
      <c r="BX45" s="35"/>
      <c r="BY45" s="35"/>
      <c r="BZ45" s="35"/>
      <c r="CA45" s="35"/>
      <c r="CB45" s="35"/>
      <c r="CC45" s="35"/>
      <c r="CD45" s="35"/>
      <c r="CE45" s="35"/>
      <c r="CF45" s="35"/>
      <c r="CG45" s="35"/>
      <c r="CH45" s="35"/>
      <c r="CI45" s="35"/>
      <c r="CJ45" s="35"/>
    </row>
    <row r="46" spans="2:88" ht="15" customHeight="1" x14ac:dyDescent="0.3">
      <c r="C46" s="4">
        <f>C44+1</f>
        <v>7</v>
      </c>
      <c r="F46" s="210"/>
      <c r="G46" s="210"/>
      <c r="H46" s="210"/>
      <c r="K46" s="211"/>
      <c r="L46" s="211"/>
      <c r="M46" s="211"/>
      <c r="N46" s="206" t="str">
        <f>IF($AQ$18=0,"Units?",IF($AQ$18=1,"ac",IF($AQ$18=2,"sq-ft","Error")))</f>
        <v>Units?</v>
      </c>
      <c r="O46" s="206"/>
      <c r="R46" s="211"/>
      <c r="S46" s="211"/>
      <c r="T46" s="211"/>
      <c r="U46" s="206" t="str">
        <f>IF($AQ$18=0,"Units?",IF($AQ$18=1,"ac",IF($AQ$18=2,"sq-ft","Error")))</f>
        <v>Units?</v>
      </c>
      <c r="V46" s="206"/>
      <c r="Y46" s="211"/>
      <c r="Z46" s="211"/>
      <c r="AA46" s="211"/>
      <c r="AB46" s="206" t="str">
        <f>IF($AQ$18=0,"Units?",IF($AQ$18=1,"ac",IF($AQ$18=2,"sq-ft","Error")))</f>
        <v>Units?</v>
      </c>
      <c r="AC46" s="206"/>
      <c r="AE46" s="70"/>
      <c r="AF46" s="39" t="s">
        <v>130</v>
      </c>
      <c r="AH46" s="70"/>
      <c r="AI46" s="39" t="s">
        <v>131</v>
      </c>
      <c r="AM46" s="121">
        <f>IF(OR(C46&lt;=$AH$20,C46&lt;=$AH$22),2,1)</f>
        <v>1</v>
      </c>
      <c r="AN46" s="121">
        <f>IF(ISBLANK(F46),1,2)</f>
        <v>1</v>
      </c>
      <c r="AP46" s="121">
        <f>IF(AND(ISBLANK(AE46),ISBLANK(AH46)),0,1)</f>
        <v>0</v>
      </c>
      <c r="AQ46" s="121">
        <f>IF(ISBLANK(AE46),1,IF(ISBLANK(AH46),2,3))</f>
        <v>1</v>
      </c>
      <c r="AR46" s="24"/>
      <c r="AS46" s="140"/>
      <c r="AT46" s="80"/>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35"/>
      <c r="BV46" s="35"/>
      <c r="BW46" s="35"/>
      <c r="BX46" s="35"/>
      <c r="BY46" s="35"/>
      <c r="BZ46" s="35"/>
      <c r="CA46" s="35"/>
      <c r="CB46" s="35"/>
      <c r="CC46" s="35"/>
      <c r="CD46" s="35"/>
      <c r="CE46" s="35"/>
      <c r="CF46" s="35"/>
      <c r="CG46" s="35"/>
      <c r="CH46" s="35"/>
      <c r="CI46" s="35"/>
      <c r="CJ46" s="35"/>
    </row>
    <row r="47" spans="2:88" ht="4.95" customHeight="1" x14ac:dyDescent="0.3">
      <c r="C47" s="4"/>
      <c r="F47" s="48"/>
      <c r="G47" s="48"/>
      <c r="K47" s="141"/>
      <c r="L47" s="141"/>
      <c r="M47" s="141"/>
      <c r="N47" s="11"/>
      <c r="O47" s="11"/>
      <c r="R47" s="141"/>
      <c r="S47" s="141"/>
      <c r="T47" s="141"/>
      <c r="U47" s="11"/>
      <c r="V47" s="11"/>
      <c r="Y47" s="141"/>
      <c r="Z47" s="141"/>
      <c r="AA47" s="141"/>
      <c r="AB47" s="11"/>
      <c r="AC47" s="11"/>
      <c r="AE47" s="142"/>
      <c r="AH47" s="142"/>
      <c r="AM47" s="135"/>
      <c r="AN47" s="135"/>
      <c r="AR47" s="24"/>
      <c r="AS47" s="140"/>
      <c r="AT47" s="80"/>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35"/>
      <c r="BV47" s="35"/>
      <c r="BW47" s="35"/>
      <c r="BX47" s="35"/>
      <c r="BY47" s="35"/>
      <c r="BZ47" s="35"/>
      <c r="CA47" s="35"/>
      <c r="CB47" s="35"/>
      <c r="CC47" s="35"/>
      <c r="CD47" s="35"/>
      <c r="CE47" s="35"/>
      <c r="CF47" s="35"/>
      <c r="CG47" s="35"/>
      <c r="CH47" s="35"/>
      <c r="CI47" s="35"/>
      <c r="CJ47" s="35"/>
    </row>
    <row r="48" spans="2:88" ht="15" customHeight="1" x14ac:dyDescent="0.3">
      <c r="C48" s="4">
        <f>C46+1</f>
        <v>8</v>
      </c>
      <c r="F48" s="210"/>
      <c r="G48" s="210"/>
      <c r="H48" s="210"/>
      <c r="K48" s="211"/>
      <c r="L48" s="211"/>
      <c r="M48" s="211"/>
      <c r="N48" s="206" t="str">
        <f>IF($AQ$18=0,"Units?",IF($AQ$18=1,"ac",IF($AQ$18=2,"sq-ft","Error")))</f>
        <v>Units?</v>
      </c>
      <c r="O48" s="206"/>
      <c r="R48" s="211"/>
      <c r="S48" s="211"/>
      <c r="T48" s="211"/>
      <c r="U48" s="206" t="str">
        <f>IF($AQ$18=0,"Units?",IF($AQ$18=1,"ac",IF($AQ$18=2,"sq-ft","Error")))</f>
        <v>Units?</v>
      </c>
      <c r="V48" s="206"/>
      <c r="Y48" s="211"/>
      <c r="Z48" s="211"/>
      <c r="AA48" s="211"/>
      <c r="AB48" s="206" t="str">
        <f>IF($AQ$18=0,"Units?",IF($AQ$18=1,"ac",IF($AQ$18=2,"sq-ft","Error")))</f>
        <v>Units?</v>
      </c>
      <c r="AC48" s="206"/>
      <c r="AE48" s="70"/>
      <c r="AF48" s="39" t="s">
        <v>130</v>
      </c>
      <c r="AH48" s="70"/>
      <c r="AI48" s="39" t="s">
        <v>131</v>
      </c>
      <c r="AM48" s="121">
        <f>IF(OR(C48&lt;=$AH$20,C48&lt;=$AH$22),2,1)</f>
        <v>1</v>
      </c>
      <c r="AN48" s="121">
        <f>IF(ISBLANK(F48),1,2)</f>
        <v>1</v>
      </c>
      <c r="AP48" s="121">
        <f>IF(AND(ISBLANK(AE48),ISBLANK(AH48)),0,1)</f>
        <v>0</v>
      </c>
      <c r="AQ48" s="121">
        <f>IF(ISBLANK(AE48),1,IF(ISBLANK(AH48),2,3))</f>
        <v>1</v>
      </c>
      <c r="AR48" s="35"/>
      <c r="AS48" s="24"/>
      <c r="AT48" s="80"/>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35"/>
      <c r="BV48" s="35"/>
      <c r="BW48" s="35"/>
      <c r="BX48" s="35"/>
      <c r="BY48" s="35"/>
      <c r="BZ48" s="35"/>
      <c r="CA48" s="35"/>
      <c r="CB48" s="35"/>
      <c r="CC48" s="35"/>
      <c r="CD48" s="35"/>
      <c r="CE48" s="35"/>
      <c r="CF48" s="35"/>
      <c r="CG48" s="35"/>
      <c r="CH48" s="35"/>
      <c r="CI48" s="35"/>
      <c r="CJ48" s="35"/>
    </row>
    <row r="49" spans="3:88" ht="4.95" customHeight="1" x14ac:dyDescent="0.3">
      <c r="C49" s="4"/>
      <c r="F49" s="48"/>
      <c r="G49" s="48"/>
      <c r="K49" s="141"/>
      <c r="L49" s="141"/>
      <c r="M49" s="141"/>
      <c r="N49" s="11"/>
      <c r="O49" s="11"/>
      <c r="R49" s="141"/>
      <c r="S49" s="141"/>
      <c r="T49" s="141"/>
      <c r="U49" s="11"/>
      <c r="V49" s="11"/>
      <c r="Y49" s="141"/>
      <c r="Z49" s="141"/>
      <c r="AA49" s="141"/>
      <c r="AB49" s="11"/>
      <c r="AC49" s="11"/>
      <c r="AE49" s="142"/>
      <c r="AH49" s="142"/>
      <c r="AM49" s="135"/>
      <c r="AN49" s="135"/>
      <c r="AR49" s="35"/>
      <c r="AS49" s="24"/>
      <c r="AT49" s="80"/>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35"/>
      <c r="BV49" s="35"/>
      <c r="BW49" s="35"/>
      <c r="BX49" s="35"/>
      <c r="BY49" s="35"/>
      <c r="BZ49" s="35"/>
      <c r="CA49" s="35"/>
      <c r="CB49" s="35"/>
      <c r="CC49" s="35"/>
      <c r="CD49" s="35"/>
      <c r="CE49" s="35"/>
      <c r="CF49" s="35"/>
      <c r="CG49" s="35"/>
      <c r="CH49" s="35"/>
      <c r="CI49" s="35"/>
      <c r="CJ49" s="35"/>
    </row>
    <row r="50" spans="3:88" ht="15" customHeight="1" x14ac:dyDescent="0.3">
      <c r="C50" s="4">
        <f>C48+1</f>
        <v>9</v>
      </c>
      <c r="F50" s="210"/>
      <c r="G50" s="210"/>
      <c r="H50" s="210"/>
      <c r="K50" s="211"/>
      <c r="L50" s="211"/>
      <c r="M50" s="211"/>
      <c r="N50" s="206" t="str">
        <f>IF($AQ$18=0,"Units?",IF($AQ$18=1,"ac",IF($AQ$18=2,"sq-ft","Error")))</f>
        <v>Units?</v>
      </c>
      <c r="O50" s="206"/>
      <c r="R50" s="211"/>
      <c r="S50" s="211"/>
      <c r="T50" s="211"/>
      <c r="U50" s="206" t="str">
        <f>IF($AQ$18=0,"Units?",IF($AQ$18=1,"ac",IF($AQ$18=2,"sq-ft","Error")))</f>
        <v>Units?</v>
      </c>
      <c r="V50" s="206"/>
      <c r="Y50" s="211"/>
      <c r="Z50" s="211"/>
      <c r="AA50" s="211"/>
      <c r="AB50" s="206" t="str">
        <f>IF($AQ$18=0,"Units?",IF($AQ$18=1,"ac",IF($AQ$18=2,"sq-ft","Error")))</f>
        <v>Units?</v>
      </c>
      <c r="AC50" s="206"/>
      <c r="AE50" s="70"/>
      <c r="AF50" s="39" t="s">
        <v>130</v>
      </c>
      <c r="AH50" s="70"/>
      <c r="AI50" s="39" t="s">
        <v>131</v>
      </c>
      <c r="AM50" s="121">
        <f>IF(OR(C50&lt;=$AH$20,C50&lt;=$AH$22),2,1)</f>
        <v>1</v>
      </c>
      <c r="AN50" s="121">
        <f>IF(ISBLANK(F50),1,2)</f>
        <v>1</v>
      </c>
      <c r="AP50" s="121">
        <f>IF(AND(ISBLANK(AE50),ISBLANK(AH50)),0,1)</f>
        <v>0</v>
      </c>
      <c r="AQ50" s="121">
        <f>IF(ISBLANK(AE50),1,IF(ISBLANK(AH50),2,3))</f>
        <v>1</v>
      </c>
      <c r="AR50" s="35"/>
      <c r="AS50" s="24"/>
      <c r="AT50" s="80"/>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35"/>
      <c r="BV50" s="35"/>
      <c r="BW50" s="35"/>
      <c r="BX50" s="35"/>
      <c r="BY50" s="35"/>
      <c r="BZ50" s="35"/>
      <c r="CA50" s="35"/>
      <c r="CB50" s="35"/>
      <c r="CC50" s="35"/>
      <c r="CD50" s="35"/>
      <c r="CE50" s="35"/>
      <c r="CF50" s="35"/>
      <c r="CG50" s="35"/>
      <c r="CH50" s="35"/>
      <c r="CI50" s="35"/>
      <c r="CJ50" s="35"/>
    </row>
    <row r="51" spans="3:88" ht="4.95" customHeight="1" x14ac:dyDescent="0.3">
      <c r="C51" s="4"/>
      <c r="F51" s="48"/>
      <c r="G51" s="48"/>
      <c r="K51" s="141"/>
      <c r="L51" s="141"/>
      <c r="M51" s="141"/>
      <c r="N51" s="11"/>
      <c r="O51" s="11"/>
      <c r="R51" s="141"/>
      <c r="S51" s="141"/>
      <c r="T51" s="141"/>
      <c r="U51" s="11"/>
      <c r="V51" s="11"/>
      <c r="Y51" s="141"/>
      <c r="Z51" s="141"/>
      <c r="AA51" s="141"/>
      <c r="AB51" s="11"/>
      <c r="AC51" s="11"/>
      <c r="AE51" s="142"/>
      <c r="AH51" s="142"/>
      <c r="AM51" s="135"/>
      <c r="AN51" s="135"/>
      <c r="AR51" s="35"/>
      <c r="AS51" s="24"/>
      <c r="AT51" s="80"/>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35"/>
      <c r="BV51" s="35"/>
      <c r="BW51" s="35"/>
      <c r="BX51" s="35"/>
      <c r="BY51" s="35"/>
      <c r="BZ51" s="35"/>
      <c r="CA51" s="35"/>
      <c r="CB51" s="35"/>
      <c r="CC51" s="35"/>
      <c r="CD51" s="35"/>
      <c r="CE51" s="35"/>
      <c r="CF51" s="35"/>
      <c r="CG51" s="35"/>
      <c r="CH51" s="35"/>
      <c r="CI51" s="35"/>
      <c r="CJ51" s="35"/>
    </row>
    <row r="52" spans="3:88" ht="15" customHeight="1" x14ac:dyDescent="0.3">
      <c r="C52" s="4">
        <f>C50+1</f>
        <v>10</v>
      </c>
      <c r="F52" s="210"/>
      <c r="G52" s="210"/>
      <c r="H52" s="210"/>
      <c r="K52" s="211"/>
      <c r="L52" s="211"/>
      <c r="M52" s="211"/>
      <c r="N52" s="206" t="str">
        <f>IF($AQ$18=0,"Units?",IF($AQ$18=1,"ac",IF($AQ$18=2,"sq-ft","Error")))</f>
        <v>Units?</v>
      </c>
      <c r="O52" s="206"/>
      <c r="R52" s="211"/>
      <c r="S52" s="211"/>
      <c r="T52" s="211"/>
      <c r="U52" s="206" t="str">
        <f>IF($AQ$18=0,"Units?",IF($AQ$18=1,"ac",IF($AQ$18=2,"sq-ft","Error")))</f>
        <v>Units?</v>
      </c>
      <c r="V52" s="206"/>
      <c r="Y52" s="211"/>
      <c r="Z52" s="211"/>
      <c r="AA52" s="211"/>
      <c r="AB52" s="206" t="str">
        <f>IF($AQ$18=0,"Units?",IF($AQ$18=1,"ac",IF($AQ$18=2,"sq-ft","Error")))</f>
        <v>Units?</v>
      </c>
      <c r="AC52" s="206"/>
      <c r="AE52" s="70"/>
      <c r="AF52" s="39" t="s">
        <v>130</v>
      </c>
      <c r="AH52" s="70"/>
      <c r="AI52" s="39" t="s">
        <v>131</v>
      </c>
      <c r="AM52" s="121">
        <f>IF(OR(C52&lt;=$AH$20,C52&lt;=$AH$22),2,1)</f>
        <v>1</v>
      </c>
      <c r="AN52" s="121">
        <f>IF(ISBLANK(F52),1,2)</f>
        <v>1</v>
      </c>
      <c r="AP52" s="121">
        <f>IF(AND(ISBLANK(AE52),ISBLANK(AH52)),0,1)</f>
        <v>0</v>
      </c>
      <c r="AQ52" s="121">
        <f>IF(ISBLANK(AE52),1,IF(ISBLANK(AH52),2,3))</f>
        <v>1</v>
      </c>
      <c r="AR52" s="35"/>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35"/>
      <c r="BV52" s="35"/>
      <c r="BW52" s="35"/>
      <c r="BX52" s="35"/>
      <c r="BY52" s="35"/>
      <c r="BZ52" s="35"/>
      <c r="CA52" s="35"/>
      <c r="CB52" s="35"/>
      <c r="CC52" s="35"/>
      <c r="CD52" s="35"/>
      <c r="CE52" s="35"/>
      <c r="CF52" s="35"/>
      <c r="CG52" s="35"/>
      <c r="CH52" s="35"/>
      <c r="CI52" s="35"/>
      <c r="CJ52" s="35"/>
    </row>
    <row r="53" spans="3:88" ht="4.95" customHeight="1" x14ac:dyDescent="0.3">
      <c r="C53" s="4"/>
      <c r="F53" s="48"/>
      <c r="G53" s="48"/>
      <c r="K53" s="141"/>
      <c r="L53" s="141"/>
      <c r="M53" s="141"/>
      <c r="N53" s="11"/>
      <c r="O53" s="11"/>
      <c r="R53" s="141"/>
      <c r="S53" s="141"/>
      <c r="T53" s="141"/>
      <c r="U53" s="11"/>
      <c r="V53" s="11"/>
      <c r="Y53" s="141"/>
      <c r="Z53" s="141"/>
      <c r="AA53" s="141"/>
      <c r="AB53" s="11"/>
      <c r="AC53" s="11"/>
      <c r="AE53" s="142"/>
      <c r="AH53" s="142"/>
      <c r="AM53" s="135"/>
      <c r="AN53" s="135"/>
      <c r="AR53" s="35"/>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35"/>
      <c r="BV53" s="35"/>
      <c r="BW53" s="35"/>
      <c r="BX53" s="35"/>
      <c r="BY53" s="35"/>
      <c r="BZ53" s="35"/>
      <c r="CA53" s="35"/>
      <c r="CB53" s="35"/>
      <c r="CC53" s="35"/>
      <c r="CD53" s="35"/>
      <c r="CE53" s="35"/>
      <c r="CF53" s="35"/>
      <c r="CG53" s="35"/>
      <c r="CH53" s="35"/>
      <c r="CI53" s="35"/>
      <c r="CJ53" s="35"/>
    </row>
    <row r="54" spans="3:88" ht="15" customHeight="1" x14ac:dyDescent="0.3">
      <c r="C54" s="4">
        <f>C52+1</f>
        <v>11</v>
      </c>
      <c r="F54" s="210"/>
      <c r="G54" s="210"/>
      <c r="H54" s="210"/>
      <c r="K54" s="211"/>
      <c r="L54" s="211"/>
      <c r="M54" s="211"/>
      <c r="N54" s="206" t="str">
        <f>IF($AQ$18=0,"Units?",IF($AQ$18=1,"ac",IF($AQ$18=2,"sq-ft","Error")))</f>
        <v>Units?</v>
      </c>
      <c r="O54" s="206"/>
      <c r="R54" s="211"/>
      <c r="S54" s="211"/>
      <c r="T54" s="211"/>
      <c r="U54" s="206" t="str">
        <f>IF($AQ$18=0,"Units?",IF($AQ$18=1,"ac",IF($AQ$18=2,"sq-ft","Error")))</f>
        <v>Units?</v>
      </c>
      <c r="V54" s="206"/>
      <c r="Y54" s="211"/>
      <c r="Z54" s="211"/>
      <c r="AA54" s="211"/>
      <c r="AB54" s="206" t="str">
        <f>IF($AQ$18=0,"Units?",IF($AQ$18=1,"ac",IF($AQ$18=2,"sq-ft","Error")))</f>
        <v>Units?</v>
      </c>
      <c r="AC54" s="206"/>
      <c r="AE54" s="70"/>
      <c r="AF54" s="39" t="s">
        <v>130</v>
      </c>
      <c r="AH54" s="70"/>
      <c r="AI54" s="39" t="s">
        <v>131</v>
      </c>
      <c r="AM54" s="121">
        <f>IF(OR(C54&lt;=$AH$20,C54&lt;=$AH$22),2,1)</f>
        <v>1</v>
      </c>
      <c r="AN54" s="121">
        <f>IF(ISBLANK(F54),1,2)</f>
        <v>1</v>
      </c>
      <c r="AP54" s="121">
        <f>IF(AND(ISBLANK(AE54),ISBLANK(AH54)),0,1)</f>
        <v>0</v>
      </c>
      <c r="AQ54" s="121">
        <f>IF(ISBLANK(AE54),1,IF(ISBLANK(AH54),2,3))</f>
        <v>1</v>
      </c>
      <c r="AR54" s="35"/>
      <c r="AS54" s="24"/>
      <c r="AT54" s="80"/>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35"/>
      <c r="BV54" s="35"/>
      <c r="BW54" s="35"/>
      <c r="BX54" s="35"/>
      <c r="BY54" s="35"/>
      <c r="BZ54" s="35"/>
      <c r="CA54" s="35"/>
      <c r="CB54" s="35"/>
      <c r="CC54" s="35"/>
      <c r="CD54" s="35"/>
      <c r="CE54" s="35"/>
      <c r="CF54" s="35"/>
      <c r="CG54" s="35"/>
      <c r="CH54" s="35"/>
      <c r="CI54" s="35"/>
      <c r="CJ54" s="35"/>
    </row>
    <row r="55" spans="3:88" ht="4.95" customHeight="1" x14ac:dyDescent="0.3">
      <c r="C55" s="4"/>
      <c r="F55" s="48"/>
      <c r="G55" s="48"/>
      <c r="K55" s="141"/>
      <c r="L55" s="141"/>
      <c r="M55" s="141"/>
      <c r="N55" s="11"/>
      <c r="O55" s="11"/>
      <c r="R55" s="141"/>
      <c r="S55" s="141"/>
      <c r="T55" s="141"/>
      <c r="U55" s="11"/>
      <c r="V55" s="11"/>
      <c r="Y55" s="141"/>
      <c r="Z55" s="141"/>
      <c r="AA55" s="141"/>
      <c r="AB55" s="11"/>
      <c r="AC55" s="11"/>
      <c r="AE55" s="142"/>
      <c r="AH55" s="142"/>
      <c r="AM55" s="135"/>
      <c r="AN55" s="135"/>
      <c r="AR55" s="35"/>
      <c r="AS55" s="24"/>
      <c r="AT55" s="80"/>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35"/>
      <c r="BV55" s="35"/>
      <c r="BW55" s="35"/>
      <c r="BX55" s="35"/>
      <c r="BY55" s="35"/>
      <c r="BZ55" s="35"/>
      <c r="CA55" s="35"/>
      <c r="CB55" s="35"/>
      <c r="CC55" s="35"/>
      <c r="CD55" s="35"/>
      <c r="CE55" s="35"/>
      <c r="CF55" s="35"/>
      <c r="CG55" s="35"/>
      <c r="CH55" s="35"/>
      <c r="CI55" s="35"/>
      <c r="CJ55" s="35"/>
    </row>
    <row r="56" spans="3:88" ht="15" customHeight="1" x14ac:dyDescent="0.3">
      <c r="C56" s="4">
        <f>C54+1</f>
        <v>12</v>
      </c>
      <c r="F56" s="210"/>
      <c r="G56" s="210"/>
      <c r="H56" s="210"/>
      <c r="K56" s="211"/>
      <c r="L56" s="211"/>
      <c r="M56" s="211"/>
      <c r="N56" s="206" t="str">
        <f>IF($AQ$18=0,"Units?",IF($AQ$18=1,"ac",IF($AQ$18=2,"sq-ft","Error")))</f>
        <v>Units?</v>
      </c>
      <c r="O56" s="206"/>
      <c r="R56" s="211"/>
      <c r="S56" s="211"/>
      <c r="T56" s="211"/>
      <c r="U56" s="206" t="str">
        <f>IF($AQ$18=0,"Units?",IF($AQ$18=1,"ac",IF($AQ$18=2,"sq-ft","Error")))</f>
        <v>Units?</v>
      </c>
      <c r="V56" s="206"/>
      <c r="Y56" s="211"/>
      <c r="Z56" s="211"/>
      <c r="AA56" s="211"/>
      <c r="AB56" s="206" t="str">
        <f>IF($AQ$18=0,"Units?",IF($AQ$18=1,"ac",IF($AQ$18=2,"sq-ft","Error")))</f>
        <v>Units?</v>
      </c>
      <c r="AC56" s="206"/>
      <c r="AE56" s="70"/>
      <c r="AF56" s="39" t="s">
        <v>130</v>
      </c>
      <c r="AH56" s="70"/>
      <c r="AI56" s="39" t="s">
        <v>131</v>
      </c>
      <c r="AM56" s="121">
        <f>IF(OR(C56&lt;=$AH$20,C56&lt;=$AH$22),2,1)</f>
        <v>1</v>
      </c>
      <c r="AN56" s="121">
        <f>IF(ISBLANK(F56),1,2)</f>
        <v>1</v>
      </c>
      <c r="AP56" s="121">
        <f>IF(AND(ISBLANK(AE56),ISBLANK(AH56)),0,1)</f>
        <v>0</v>
      </c>
      <c r="AQ56" s="121">
        <f>IF(ISBLANK(AE56),1,IF(ISBLANK(AH56),2,3))</f>
        <v>1</v>
      </c>
      <c r="AR56" s="35"/>
      <c r="AS56" s="24"/>
      <c r="AT56" s="80"/>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35"/>
      <c r="BV56" s="35"/>
      <c r="BW56" s="35"/>
      <c r="BX56" s="35"/>
      <c r="BY56" s="35"/>
      <c r="BZ56" s="35"/>
      <c r="CA56" s="35"/>
      <c r="CB56" s="35"/>
      <c r="CC56" s="35"/>
      <c r="CD56" s="35"/>
      <c r="CE56" s="35"/>
      <c r="CF56" s="35"/>
      <c r="CG56" s="35"/>
      <c r="CH56" s="35"/>
      <c r="CI56" s="35"/>
      <c r="CJ56" s="35"/>
    </row>
    <row r="57" spans="3:88" ht="4.95" customHeight="1" x14ac:dyDescent="0.3">
      <c r="C57" s="4"/>
      <c r="F57" s="48"/>
      <c r="G57" s="48"/>
      <c r="K57" s="141"/>
      <c r="L57" s="141"/>
      <c r="M57" s="141"/>
      <c r="N57" s="11"/>
      <c r="O57" s="11"/>
      <c r="R57" s="141"/>
      <c r="S57" s="141"/>
      <c r="T57" s="141"/>
      <c r="U57" s="11"/>
      <c r="V57" s="11"/>
      <c r="Y57" s="141"/>
      <c r="Z57" s="141"/>
      <c r="AA57" s="141"/>
      <c r="AB57" s="11"/>
      <c r="AC57" s="11"/>
      <c r="AE57" s="142"/>
      <c r="AH57" s="142"/>
      <c r="AM57" s="135"/>
      <c r="AN57" s="135"/>
      <c r="AR57" s="35"/>
      <c r="AS57" s="24"/>
      <c r="AT57" s="80"/>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35"/>
      <c r="BV57" s="35"/>
      <c r="BW57" s="35"/>
      <c r="BX57" s="35"/>
      <c r="BY57" s="35"/>
      <c r="BZ57" s="35"/>
      <c r="CA57" s="35"/>
      <c r="CB57" s="35"/>
      <c r="CC57" s="35"/>
      <c r="CD57" s="35"/>
      <c r="CE57" s="35"/>
      <c r="CF57" s="35"/>
      <c r="CG57" s="35"/>
      <c r="CH57" s="35"/>
      <c r="CI57" s="35"/>
      <c r="CJ57" s="35"/>
    </row>
    <row r="58" spans="3:88" ht="15" customHeight="1" x14ac:dyDescent="0.3">
      <c r="C58" s="4">
        <f>C56+1</f>
        <v>13</v>
      </c>
      <c r="F58" s="210"/>
      <c r="G58" s="210"/>
      <c r="H58" s="210"/>
      <c r="K58" s="211"/>
      <c r="L58" s="211"/>
      <c r="M58" s="211"/>
      <c r="N58" s="206" t="str">
        <f>IF($AQ$18=0,"Units?",IF($AQ$18=1,"ac",IF($AQ$18=2,"sq-ft","Error")))</f>
        <v>Units?</v>
      </c>
      <c r="O58" s="206"/>
      <c r="R58" s="211"/>
      <c r="S58" s="211"/>
      <c r="T58" s="211"/>
      <c r="U58" s="206" t="str">
        <f>IF($AQ$18=0,"Units?",IF($AQ$18=1,"ac",IF($AQ$18=2,"sq-ft","Error")))</f>
        <v>Units?</v>
      </c>
      <c r="V58" s="206"/>
      <c r="Y58" s="211"/>
      <c r="Z58" s="211"/>
      <c r="AA58" s="211"/>
      <c r="AB58" s="206" t="str">
        <f>IF($AQ$18=0,"Units?",IF($AQ$18=1,"ac",IF($AQ$18=2,"sq-ft","Error")))</f>
        <v>Units?</v>
      </c>
      <c r="AC58" s="206"/>
      <c r="AE58" s="70"/>
      <c r="AF58" s="39" t="s">
        <v>130</v>
      </c>
      <c r="AH58" s="70"/>
      <c r="AI58" s="39" t="s">
        <v>131</v>
      </c>
      <c r="AM58" s="121">
        <f>IF(OR(C58&lt;=$AH$20,C58&lt;=$AH$22),2,1)</f>
        <v>1</v>
      </c>
      <c r="AN58" s="121">
        <f>IF(ISBLANK(F58),1,2)</f>
        <v>1</v>
      </c>
      <c r="AP58" s="121">
        <f>IF(AND(ISBLANK(AE58),ISBLANK(AH58)),0,1)</f>
        <v>0</v>
      </c>
      <c r="AQ58" s="121">
        <f>IF(ISBLANK(AE58),1,IF(ISBLANK(AH58),2,3))</f>
        <v>1</v>
      </c>
      <c r="AR58" s="35"/>
      <c r="AS58" s="24"/>
      <c r="AT58" s="80"/>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35"/>
      <c r="BV58" s="35"/>
      <c r="BW58" s="35"/>
      <c r="BX58" s="35"/>
      <c r="BY58" s="35"/>
      <c r="BZ58" s="35"/>
      <c r="CA58" s="35"/>
      <c r="CB58" s="35"/>
      <c r="CC58" s="35"/>
      <c r="CD58" s="35"/>
      <c r="CE58" s="35"/>
      <c r="CF58" s="35"/>
      <c r="CG58" s="35"/>
      <c r="CH58" s="35"/>
      <c r="CI58" s="35"/>
      <c r="CJ58" s="35"/>
    </row>
    <row r="59" spans="3:88" ht="4.95" customHeight="1" x14ac:dyDescent="0.3">
      <c r="C59" s="4"/>
      <c r="F59" s="48"/>
      <c r="G59" s="48"/>
      <c r="K59" s="141"/>
      <c r="L59" s="141"/>
      <c r="M59" s="141"/>
      <c r="N59" s="11"/>
      <c r="O59" s="11"/>
      <c r="R59" s="141"/>
      <c r="S59" s="141"/>
      <c r="T59" s="141"/>
      <c r="U59" s="11"/>
      <c r="V59" s="11"/>
      <c r="Y59" s="141"/>
      <c r="Z59" s="141"/>
      <c r="AA59" s="141"/>
      <c r="AB59" s="11"/>
      <c r="AC59" s="11"/>
      <c r="AE59" s="142"/>
      <c r="AH59" s="142"/>
      <c r="AM59" s="135"/>
      <c r="AN59" s="135"/>
      <c r="AR59" s="35"/>
      <c r="AS59" s="24"/>
      <c r="AT59" s="80"/>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35"/>
      <c r="BV59" s="35"/>
      <c r="BW59" s="35"/>
      <c r="BX59" s="35"/>
      <c r="BY59" s="35"/>
      <c r="BZ59" s="35"/>
      <c r="CA59" s="35"/>
      <c r="CB59" s="35"/>
      <c r="CC59" s="35"/>
      <c r="CD59" s="35"/>
      <c r="CE59" s="35"/>
      <c r="CF59" s="35"/>
      <c r="CG59" s="35"/>
      <c r="CH59" s="35"/>
      <c r="CI59" s="35"/>
      <c r="CJ59" s="35"/>
    </row>
    <row r="60" spans="3:88" ht="15" customHeight="1" x14ac:dyDescent="0.3">
      <c r="C60" s="4">
        <f>C58+1</f>
        <v>14</v>
      </c>
      <c r="F60" s="210"/>
      <c r="G60" s="210"/>
      <c r="H60" s="210"/>
      <c r="K60" s="211"/>
      <c r="L60" s="211"/>
      <c r="M60" s="211"/>
      <c r="N60" s="206" t="str">
        <f>IF($AQ$18=0,"Units?",IF($AQ$18=1,"ac",IF($AQ$18=2,"sq-ft","Error")))</f>
        <v>Units?</v>
      </c>
      <c r="O60" s="206"/>
      <c r="R60" s="211"/>
      <c r="S60" s="211"/>
      <c r="T60" s="211"/>
      <c r="U60" s="206" t="str">
        <f>IF($AQ$18=0,"Units?",IF($AQ$18=1,"ac",IF($AQ$18=2,"sq-ft","Error")))</f>
        <v>Units?</v>
      </c>
      <c r="V60" s="206"/>
      <c r="Y60" s="211"/>
      <c r="Z60" s="211"/>
      <c r="AA60" s="211"/>
      <c r="AB60" s="206" t="str">
        <f>IF($AQ$18=0,"Units?",IF($AQ$18=1,"ac",IF($AQ$18=2,"sq-ft","Error")))</f>
        <v>Units?</v>
      </c>
      <c r="AC60" s="206"/>
      <c r="AE60" s="70"/>
      <c r="AF60" s="39" t="s">
        <v>130</v>
      </c>
      <c r="AH60" s="70"/>
      <c r="AI60" s="39" t="s">
        <v>131</v>
      </c>
      <c r="AM60" s="121">
        <f>IF(OR(C60&lt;=$AH$20,C60&lt;=$AH$22),2,1)</f>
        <v>1</v>
      </c>
      <c r="AN60" s="121">
        <f>IF(ISBLANK(F60),1,2)</f>
        <v>1</v>
      </c>
      <c r="AP60" s="121">
        <f>IF(AND(ISBLANK(AE60),ISBLANK(AH60)),0,1)</f>
        <v>0</v>
      </c>
      <c r="AQ60" s="121">
        <f>IF(ISBLANK(AE60),1,IF(ISBLANK(AH60),2,3))</f>
        <v>1</v>
      </c>
      <c r="AR60" s="35"/>
      <c r="AS60" s="24"/>
      <c r="AT60" s="80"/>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35"/>
      <c r="BV60" s="35"/>
      <c r="BW60" s="35"/>
      <c r="BX60" s="35"/>
      <c r="BY60" s="35"/>
      <c r="BZ60" s="35"/>
      <c r="CA60" s="35"/>
      <c r="CB60" s="35"/>
      <c r="CC60" s="35"/>
      <c r="CD60" s="35"/>
      <c r="CE60" s="35"/>
      <c r="CF60" s="35"/>
      <c r="CG60" s="35"/>
      <c r="CH60" s="35"/>
      <c r="CI60" s="35"/>
      <c r="CJ60" s="35"/>
    </row>
    <row r="61" spans="3:88" ht="4.95" customHeight="1" x14ac:dyDescent="0.3">
      <c r="C61" s="4"/>
      <c r="F61" s="48"/>
      <c r="G61" s="48"/>
      <c r="K61" s="141"/>
      <c r="L61" s="141"/>
      <c r="M61" s="141"/>
      <c r="N61" s="11"/>
      <c r="O61" s="11"/>
      <c r="R61" s="141"/>
      <c r="S61" s="141"/>
      <c r="T61" s="141"/>
      <c r="U61" s="11"/>
      <c r="V61" s="11"/>
      <c r="Y61" s="141"/>
      <c r="Z61" s="141"/>
      <c r="AA61" s="141"/>
      <c r="AB61" s="11"/>
      <c r="AC61" s="11"/>
      <c r="AE61" s="142"/>
      <c r="AH61" s="142"/>
      <c r="AM61" s="135"/>
      <c r="AN61" s="135"/>
      <c r="AR61" s="35"/>
      <c r="AS61" s="24"/>
      <c r="AT61" s="80"/>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35"/>
      <c r="BV61" s="35"/>
      <c r="BW61" s="35"/>
      <c r="BX61" s="35"/>
      <c r="BY61" s="35"/>
      <c r="BZ61" s="35"/>
      <c r="CA61" s="35"/>
      <c r="CB61" s="35"/>
      <c r="CC61" s="35"/>
      <c r="CD61" s="35"/>
      <c r="CE61" s="35"/>
      <c r="CF61" s="35"/>
      <c r="CG61" s="35"/>
      <c r="CH61" s="35"/>
      <c r="CI61" s="35"/>
      <c r="CJ61" s="35"/>
    </row>
    <row r="62" spans="3:88" ht="15" customHeight="1" x14ac:dyDescent="0.3">
      <c r="C62" s="4">
        <f t="shared" ref="C62" si="0">C60+1</f>
        <v>15</v>
      </c>
      <c r="F62" s="210"/>
      <c r="G62" s="210"/>
      <c r="H62" s="210"/>
      <c r="K62" s="211"/>
      <c r="L62" s="211"/>
      <c r="M62" s="211"/>
      <c r="N62" s="206" t="str">
        <f>IF($AQ$18=0,"Units?",IF($AQ$18=1,"ac",IF($AQ$18=2,"sq-ft","Error")))</f>
        <v>Units?</v>
      </c>
      <c r="O62" s="206"/>
      <c r="R62" s="211"/>
      <c r="S62" s="211"/>
      <c r="T62" s="211"/>
      <c r="U62" s="206" t="str">
        <f>IF($AQ$18=0,"Units?",IF($AQ$18=1,"ac",IF($AQ$18=2,"sq-ft","Error")))</f>
        <v>Units?</v>
      </c>
      <c r="V62" s="206"/>
      <c r="Y62" s="211"/>
      <c r="Z62" s="211"/>
      <c r="AA62" s="211"/>
      <c r="AB62" s="206" t="str">
        <f>IF($AQ$18=0,"Units?",IF($AQ$18=1,"ac",IF($AQ$18=2,"sq-ft","Error")))</f>
        <v>Units?</v>
      </c>
      <c r="AC62" s="206"/>
      <c r="AE62" s="70"/>
      <c r="AF62" s="39" t="s">
        <v>130</v>
      </c>
      <c r="AH62" s="70"/>
      <c r="AI62" s="39" t="s">
        <v>131</v>
      </c>
      <c r="AM62" s="121">
        <f>IF(OR(C62&lt;=$AH$20,C62&lt;=$AH$22),2,1)</f>
        <v>1</v>
      </c>
      <c r="AN62" s="121">
        <f>IF(ISBLANK(F62),1,2)</f>
        <v>1</v>
      </c>
      <c r="AP62" s="121">
        <f>IF(AND(ISBLANK(AE62),ISBLANK(AH62)),0,1)</f>
        <v>0</v>
      </c>
      <c r="AQ62" s="121">
        <f>IF(ISBLANK(AE62),1,IF(ISBLANK(AH62),2,3))</f>
        <v>1</v>
      </c>
      <c r="AR62" s="35"/>
      <c r="AS62" s="24"/>
      <c r="AT62" s="80"/>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35"/>
      <c r="BV62" s="35"/>
      <c r="BW62" s="35"/>
      <c r="BX62" s="35"/>
      <c r="BY62" s="35"/>
      <c r="BZ62" s="35"/>
      <c r="CA62" s="35"/>
      <c r="CB62" s="35"/>
      <c r="CC62" s="35"/>
      <c r="CD62" s="35"/>
      <c r="CE62" s="35"/>
      <c r="CF62" s="35"/>
      <c r="CG62" s="35"/>
      <c r="CH62" s="35"/>
      <c r="CI62" s="35"/>
      <c r="CJ62" s="35"/>
    </row>
    <row r="63" spans="3:88" ht="4.95" customHeight="1" x14ac:dyDescent="0.3">
      <c r="AR63" s="35"/>
      <c r="AS63" s="24"/>
      <c r="AT63" s="80"/>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35"/>
      <c r="BV63" s="35"/>
      <c r="BW63" s="35"/>
      <c r="BX63" s="35"/>
      <c r="BY63" s="35"/>
      <c r="BZ63" s="35"/>
      <c r="CA63" s="35"/>
      <c r="CB63" s="35"/>
      <c r="CC63" s="35"/>
      <c r="CD63" s="35"/>
      <c r="CE63" s="35"/>
      <c r="CF63" s="35"/>
      <c r="CG63" s="35"/>
      <c r="CH63" s="35"/>
      <c r="CI63" s="35"/>
      <c r="CJ63" s="35"/>
    </row>
    <row r="64" spans="3:88" ht="15" customHeight="1" x14ac:dyDescent="0.3">
      <c r="J64" s="2" t="s">
        <v>432</v>
      </c>
      <c r="K64" s="208">
        <f>SUM(K34:M62)</f>
        <v>0</v>
      </c>
      <c r="L64" s="208"/>
      <c r="M64" s="208"/>
      <c r="N64" s="206" t="str">
        <f>IF($AQ$18=0,"Units?",IF($AQ$18=1,"ac",IF($AQ$18=2,"sq-ft","Error")))</f>
        <v>Units?</v>
      </c>
      <c r="O64" s="206"/>
      <c r="Q64" s="2" t="s">
        <v>432</v>
      </c>
      <c r="R64" s="209">
        <f>IF(ISERR(SUM(R34:T62)),0,SUM(R34:T62))</f>
        <v>0</v>
      </c>
      <c r="S64" s="209"/>
      <c r="T64" s="209"/>
      <c r="U64" s="206" t="str">
        <f>IF($AQ$18=0,"Units?",IF($AQ$18=1,"ac",IF($AQ$18=2,"sq-ft","Error")))</f>
        <v>Units?</v>
      </c>
      <c r="V64" s="206"/>
      <c r="X64" s="2" t="s">
        <v>432</v>
      </c>
      <c r="Y64" s="209">
        <f>IF(ISERR(SUM(Y34:AA62)),0,SUM(Y34:AA62))</f>
        <v>0</v>
      </c>
      <c r="Z64" s="209"/>
      <c r="AA64" s="209"/>
      <c r="AB64" s="206" t="str">
        <f>IF($AQ$18=0,"Units?",IF($AQ$18=1,"ac",IF($AQ$18=2,"sq-ft","Error")))</f>
        <v>Units?</v>
      </c>
      <c r="AC64" s="206"/>
      <c r="AR64" s="35"/>
      <c r="AS64" s="24"/>
      <c r="AT64" s="80"/>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35"/>
      <c r="BV64" s="35"/>
      <c r="BW64" s="35"/>
      <c r="BX64" s="35"/>
      <c r="BY64" s="35"/>
      <c r="BZ64" s="35"/>
      <c r="CA64" s="35"/>
      <c r="CB64" s="35"/>
      <c r="CC64" s="35"/>
      <c r="CD64" s="35"/>
      <c r="CE64" s="35"/>
      <c r="CF64" s="35"/>
      <c r="CG64" s="35"/>
      <c r="CH64" s="35"/>
      <c r="CI64" s="35"/>
      <c r="CJ64" s="35"/>
    </row>
    <row r="65" spans="2:88" ht="15" customHeight="1" x14ac:dyDescent="0.3">
      <c r="R65" s="207">
        <f>IF(ISERR(R64/$K64),0,R64/$K64)</f>
        <v>0</v>
      </c>
      <c r="S65" s="207"/>
      <c r="T65" s="207"/>
      <c r="U65" s="39" t="s">
        <v>239</v>
      </c>
      <c r="Y65" s="207">
        <f>IF(ISERR(Y64/$K64),0,Y64/$K64)</f>
        <v>0</v>
      </c>
      <c r="Z65" s="207"/>
      <c r="AA65" s="207"/>
      <c r="AR65" s="35"/>
      <c r="AS65" s="24"/>
      <c r="AT65" s="80"/>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35"/>
      <c r="BV65" s="35"/>
      <c r="BW65" s="35"/>
      <c r="BX65" s="35"/>
      <c r="BY65" s="35"/>
      <c r="BZ65" s="35"/>
      <c r="CA65" s="35"/>
      <c r="CB65" s="35"/>
      <c r="CC65" s="35"/>
      <c r="CD65" s="35"/>
      <c r="CE65" s="35"/>
      <c r="CF65" s="35"/>
      <c r="CG65" s="35"/>
      <c r="CH65" s="35"/>
      <c r="CI65" s="35"/>
      <c r="CJ65" s="35"/>
    </row>
    <row r="66" spans="2:88" ht="15" customHeight="1" x14ac:dyDescent="0.3">
      <c r="B66" s="166">
        <f>Tables!C13</f>
        <v>45566</v>
      </c>
      <c r="C66" s="166"/>
      <c r="D66" s="166"/>
      <c r="E66" s="166"/>
      <c r="F66" s="166"/>
      <c r="G66" s="166"/>
      <c r="H66" s="166"/>
      <c r="R66" s="167" t="s">
        <v>433</v>
      </c>
      <c r="S66" s="167"/>
      <c r="T66" s="167"/>
      <c r="U66" s="167"/>
      <c r="AR66" s="35"/>
      <c r="AS66" s="24"/>
      <c r="AT66" s="80"/>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35"/>
      <c r="BV66" s="35"/>
      <c r="BW66" s="35"/>
      <c r="BX66" s="35"/>
      <c r="BY66" s="35"/>
      <c r="BZ66" s="35"/>
      <c r="CA66" s="35"/>
      <c r="CB66" s="35"/>
      <c r="CC66" s="35"/>
      <c r="CD66" s="35"/>
      <c r="CE66" s="35"/>
      <c r="CF66" s="35"/>
      <c r="CG66" s="35"/>
      <c r="CH66" s="35"/>
      <c r="CI66" s="35"/>
      <c r="CJ66" s="35"/>
    </row>
    <row r="67" spans="2:88" ht="15" customHeight="1" x14ac:dyDescent="0.3">
      <c r="B67" s="116"/>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R67" s="35"/>
      <c r="AS67" s="24"/>
      <c r="AT67" s="80"/>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35"/>
      <c r="BV67" s="35"/>
      <c r="BW67" s="35"/>
      <c r="BX67" s="35"/>
      <c r="BY67" s="35"/>
      <c r="BZ67" s="35"/>
      <c r="CA67" s="35"/>
      <c r="CB67" s="35"/>
      <c r="CC67" s="35"/>
      <c r="CD67" s="35"/>
      <c r="CE67" s="35"/>
      <c r="CF67" s="35"/>
      <c r="CG67" s="35"/>
      <c r="CH67" s="35"/>
      <c r="CI67" s="35"/>
      <c r="CJ67" s="35"/>
    </row>
    <row r="68" spans="2:88" ht="15" customHeight="1" x14ac:dyDescent="0.3">
      <c r="C68" s="2" t="s">
        <v>144</v>
      </c>
      <c r="D68" s="169">
        <f>IF(ISBLANK($E$14),0,$E$14)</f>
        <v>0</v>
      </c>
      <c r="E68" s="169"/>
      <c r="F68" s="169"/>
      <c r="G68" s="169"/>
      <c r="H68" s="169"/>
      <c r="I68" s="169"/>
      <c r="J68" s="169"/>
      <c r="K68" s="169"/>
      <c r="L68" s="169"/>
      <c r="M68" s="169"/>
      <c r="N68" s="169"/>
      <c r="O68" s="169"/>
      <c r="P68" s="169"/>
      <c r="Q68" s="169"/>
      <c r="R68" s="169"/>
      <c r="S68" s="169"/>
      <c r="T68" s="169"/>
      <c r="U68" s="169"/>
      <c r="V68" s="169"/>
      <c r="W68" s="169"/>
      <c r="X68" s="169"/>
      <c r="Y68" s="169"/>
      <c r="AD68" s="2" t="s">
        <v>180</v>
      </c>
      <c r="AE68" s="170">
        <f>IF(ISBLANK($AE$14),0,$AE$14)</f>
        <v>0</v>
      </c>
      <c r="AF68" s="170"/>
      <c r="AG68" s="170"/>
      <c r="AH68" s="170"/>
      <c r="AI68" s="170"/>
      <c r="AJ68" s="170"/>
      <c r="AR68" s="35"/>
      <c r="AS68" s="24"/>
      <c r="AT68" s="80"/>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35"/>
      <c r="BV68" s="35"/>
      <c r="BW68" s="35"/>
      <c r="BX68" s="35"/>
      <c r="BY68" s="35"/>
      <c r="BZ68" s="35"/>
      <c r="CA68" s="35"/>
      <c r="CB68" s="35"/>
      <c r="CC68" s="35"/>
      <c r="CD68" s="35"/>
      <c r="CE68" s="35"/>
      <c r="CF68" s="35"/>
      <c r="CG68" s="35"/>
      <c r="CH68" s="35"/>
      <c r="CI68" s="35"/>
      <c r="CJ68" s="35"/>
    </row>
    <row r="69" spans="2:88" ht="15" customHeight="1" x14ac:dyDescent="0.3">
      <c r="B69" s="5"/>
      <c r="AR69" s="35"/>
      <c r="AS69" s="24"/>
      <c r="AT69" s="80"/>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35"/>
      <c r="BV69" s="35"/>
      <c r="BW69" s="35"/>
      <c r="BX69" s="35"/>
      <c r="BY69" s="35"/>
      <c r="BZ69" s="35"/>
      <c r="CA69" s="35"/>
      <c r="CB69" s="35"/>
      <c r="CC69" s="35"/>
      <c r="CD69" s="35"/>
      <c r="CE69" s="35"/>
      <c r="CF69" s="35"/>
      <c r="CG69" s="35"/>
      <c r="CH69" s="35"/>
      <c r="CI69" s="35"/>
      <c r="CJ69" s="35"/>
    </row>
    <row r="70" spans="2:88" ht="15" customHeight="1" x14ac:dyDescent="0.3">
      <c r="B70" s="5" t="s">
        <v>23</v>
      </c>
      <c r="AR70" s="35"/>
      <c r="AS70" s="24"/>
      <c r="AT70" s="80"/>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35"/>
      <c r="BV70" s="35"/>
      <c r="BW70" s="35"/>
      <c r="BX70" s="35"/>
      <c r="BY70" s="35"/>
      <c r="BZ70" s="35"/>
      <c r="CA70" s="35"/>
      <c r="CB70" s="35"/>
      <c r="CC70" s="35"/>
      <c r="CD70" s="35"/>
      <c r="CE70" s="35"/>
      <c r="CF70" s="35"/>
      <c r="CG70" s="35"/>
      <c r="CH70" s="35"/>
      <c r="CI70" s="35"/>
      <c r="CJ70" s="35"/>
    </row>
    <row r="71" spans="2:88" ht="15" customHeight="1" x14ac:dyDescent="0.3">
      <c r="B71" s="192"/>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4"/>
      <c r="AM71" s="121">
        <f>IF(SUM(AO24,AO26,AO28,AO30)&gt;0,2,1)</f>
        <v>1</v>
      </c>
      <c r="AR71" s="35"/>
      <c r="AS71" s="24"/>
      <c r="AT71" s="80"/>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35"/>
      <c r="BV71" s="35"/>
      <c r="BW71" s="35"/>
      <c r="BX71" s="35"/>
      <c r="BY71" s="35"/>
      <c r="BZ71" s="35"/>
      <c r="CA71" s="35"/>
      <c r="CB71" s="35"/>
      <c r="CC71" s="35"/>
      <c r="CD71" s="35"/>
      <c r="CE71" s="35"/>
      <c r="CF71" s="35"/>
      <c r="CG71" s="35"/>
      <c r="CH71" s="35"/>
      <c r="CI71" s="35"/>
      <c r="CJ71" s="35"/>
    </row>
    <row r="72" spans="2:88" ht="15" customHeight="1" x14ac:dyDescent="0.3">
      <c r="B72" s="195"/>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7"/>
      <c r="AR72" s="35"/>
      <c r="AS72" s="24"/>
      <c r="AT72" s="80"/>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35"/>
      <c r="BV72" s="35"/>
      <c r="BW72" s="35"/>
      <c r="BX72" s="35"/>
      <c r="BY72" s="35"/>
      <c r="BZ72" s="35"/>
      <c r="CA72" s="35"/>
      <c r="CB72" s="35"/>
      <c r="CC72" s="35"/>
      <c r="CD72" s="35"/>
      <c r="CE72" s="35"/>
      <c r="CF72" s="35"/>
      <c r="CG72" s="35"/>
      <c r="CH72" s="35"/>
      <c r="CI72" s="35"/>
      <c r="CJ72" s="35"/>
    </row>
    <row r="73" spans="2:88" ht="15" customHeight="1" x14ac:dyDescent="0.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7"/>
      <c r="AR73" s="35"/>
      <c r="AS73" s="24"/>
      <c r="AT73" s="80"/>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35"/>
      <c r="BV73" s="35"/>
      <c r="BW73" s="35"/>
      <c r="BX73" s="35"/>
      <c r="BY73" s="35"/>
      <c r="BZ73" s="35"/>
      <c r="CA73" s="35"/>
      <c r="CB73" s="35"/>
      <c r="CC73" s="35"/>
      <c r="CD73" s="35"/>
      <c r="CE73" s="35"/>
      <c r="CF73" s="35"/>
      <c r="CG73" s="35"/>
      <c r="CH73" s="35"/>
      <c r="CI73" s="35"/>
      <c r="CJ73" s="35"/>
    </row>
    <row r="74" spans="2:88" ht="15" customHeight="1" x14ac:dyDescent="0.3">
      <c r="B74" s="195"/>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7"/>
      <c r="AR74" s="35"/>
      <c r="AS74" s="24"/>
      <c r="AT74" s="80"/>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35"/>
      <c r="BV74" s="35"/>
      <c r="BW74" s="35"/>
      <c r="BX74" s="35"/>
      <c r="BY74" s="35"/>
      <c r="BZ74" s="35"/>
      <c r="CA74" s="35"/>
      <c r="CB74" s="35"/>
      <c r="CC74" s="35"/>
      <c r="CD74" s="35"/>
      <c r="CE74" s="35"/>
      <c r="CF74" s="35"/>
      <c r="CG74" s="35"/>
      <c r="CH74" s="35"/>
      <c r="CI74" s="35"/>
      <c r="CJ74" s="35"/>
    </row>
    <row r="75" spans="2:88" ht="15" customHeight="1" x14ac:dyDescent="0.3">
      <c r="B75" s="195"/>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7"/>
      <c r="AR75" s="35"/>
      <c r="AS75" s="24"/>
      <c r="AT75" s="80"/>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35"/>
      <c r="BV75" s="35"/>
      <c r="BW75" s="35"/>
      <c r="BX75" s="35"/>
      <c r="BY75" s="35"/>
      <c r="BZ75" s="35"/>
      <c r="CA75" s="35"/>
      <c r="CB75" s="35"/>
      <c r="CC75" s="35"/>
      <c r="CD75" s="35"/>
      <c r="CE75" s="35"/>
      <c r="CF75" s="35"/>
      <c r="CG75" s="35"/>
      <c r="CH75" s="35"/>
      <c r="CI75" s="35"/>
      <c r="CJ75" s="35"/>
    </row>
    <row r="76" spans="2:88" ht="15" customHeight="1" x14ac:dyDescent="0.3">
      <c r="B76" s="198"/>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200"/>
      <c r="AR76" s="35"/>
      <c r="AS76" s="24"/>
      <c r="AT76" s="80"/>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35"/>
      <c r="BV76" s="35"/>
      <c r="BW76" s="35"/>
      <c r="BX76" s="35"/>
      <c r="BY76" s="35"/>
      <c r="BZ76" s="35"/>
      <c r="CA76" s="35"/>
      <c r="CB76" s="35"/>
      <c r="CC76" s="35"/>
      <c r="CD76" s="35"/>
      <c r="CE76" s="35"/>
      <c r="CF76" s="35"/>
      <c r="CG76" s="35"/>
      <c r="CH76" s="35"/>
      <c r="CI76" s="35"/>
      <c r="CJ76" s="35"/>
    </row>
    <row r="77" spans="2:88" ht="15" customHeight="1" x14ac:dyDescent="0.3">
      <c r="B77" s="5"/>
      <c r="AR77" s="35"/>
      <c r="AS77" s="24"/>
      <c r="AT77" s="80"/>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35"/>
      <c r="BV77" s="35"/>
      <c r="BW77" s="35"/>
      <c r="BX77" s="35"/>
      <c r="BY77" s="35"/>
      <c r="BZ77" s="35"/>
      <c r="CA77" s="35"/>
      <c r="CB77" s="35"/>
      <c r="CC77" s="35"/>
      <c r="CD77" s="35"/>
      <c r="CE77" s="35"/>
      <c r="CF77" s="35"/>
      <c r="CG77" s="35"/>
      <c r="CH77" s="35"/>
      <c r="CI77" s="35"/>
      <c r="CJ77" s="35"/>
    </row>
    <row r="78" spans="2:88" ht="15" customHeight="1" x14ac:dyDescent="0.3">
      <c r="B78" s="1" t="s">
        <v>19</v>
      </c>
      <c r="C78" s="1"/>
      <c r="D78" s="1"/>
      <c r="AR78" s="35"/>
      <c r="AS78" s="35"/>
      <c r="AT78" s="137"/>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row>
    <row r="79" spans="2:88" ht="4.95" customHeight="1" x14ac:dyDescent="0.3">
      <c r="B79" s="1"/>
      <c r="C79" s="1"/>
      <c r="D79" s="1"/>
      <c r="AR79" s="35"/>
      <c r="AS79" s="35"/>
      <c r="AT79" s="137"/>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row>
    <row r="80" spans="2:88" ht="15" customHeight="1" x14ac:dyDescent="0.3">
      <c r="B80" s="112" t="s">
        <v>437</v>
      </c>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R80" s="35"/>
      <c r="AS80" s="35"/>
      <c r="AT80" s="137"/>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row>
    <row r="81" spans="2:88" ht="15" customHeight="1" x14ac:dyDescent="0.3">
      <c r="B81" s="112" t="s">
        <v>438</v>
      </c>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R81" s="35"/>
      <c r="AS81" s="35"/>
      <c r="AT81" s="137"/>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row>
    <row r="82" spans="2:88" ht="15" customHeight="1" x14ac:dyDescent="0.3">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R82" s="35"/>
      <c r="AS82" s="35"/>
      <c r="AT82" s="137"/>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row>
    <row r="83" spans="2:88" ht="15" customHeight="1" x14ac:dyDescent="0.3">
      <c r="D83" s="2" t="s">
        <v>184</v>
      </c>
      <c r="E83" s="164"/>
      <c r="F83" s="164"/>
      <c r="G83" s="164"/>
      <c r="H83" s="164"/>
      <c r="I83" s="164"/>
      <c r="J83" s="164"/>
      <c r="K83" s="164"/>
      <c r="L83" s="164"/>
      <c r="M83" s="164"/>
      <c r="N83" s="164"/>
      <c r="O83" s="164"/>
      <c r="P83" s="164"/>
      <c r="Q83" s="164"/>
      <c r="R83" s="164"/>
      <c r="S83" s="164"/>
      <c r="T83" s="164"/>
      <c r="U83" s="164"/>
      <c r="V83" s="164"/>
      <c r="W83" s="164"/>
      <c r="X83" s="164"/>
      <c r="Y83" s="164"/>
      <c r="AB83" s="2" t="s">
        <v>378</v>
      </c>
      <c r="AC83" s="2"/>
      <c r="AD83" s="2"/>
      <c r="AE83" s="2"/>
      <c r="AR83" s="35"/>
      <c r="AS83" s="35"/>
      <c r="AT83" s="137"/>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row>
    <row r="84" spans="2:88" ht="15" customHeight="1" x14ac:dyDescent="0.3">
      <c r="D84" s="2" t="s">
        <v>144</v>
      </c>
      <c r="E84" s="190"/>
      <c r="F84" s="190"/>
      <c r="G84" s="190"/>
      <c r="H84" s="190"/>
      <c r="I84" s="190"/>
      <c r="J84" s="190"/>
      <c r="K84" s="190"/>
      <c r="L84" s="190"/>
      <c r="M84" s="190"/>
      <c r="N84" s="190"/>
      <c r="O84" s="190"/>
      <c r="P84" s="190"/>
      <c r="Q84" s="190"/>
      <c r="R84" s="190"/>
      <c r="S84" s="190"/>
      <c r="T84" s="190"/>
      <c r="U84" s="190"/>
      <c r="V84" s="190"/>
      <c r="W84" s="190"/>
      <c r="X84" s="190"/>
      <c r="Y84" s="190"/>
      <c r="AR84" s="35"/>
      <c r="AS84" s="35"/>
      <c r="AT84" s="137"/>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row>
    <row r="85" spans="2:88" ht="15" customHeight="1" x14ac:dyDescent="0.3">
      <c r="D85" s="2" t="s">
        <v>145</v>
      </c>
      <c r="E85" s="190"/>
      <c r="F85" s="190"/>
      <c r="G85" s="190"/>
      <c r="H85" s="190"/>
      <c r="I85" s="190"/>
      <c r="J85" s="190"/>
      <c r="K85" s="190"/>
      <c r="L85" s="190"/>
      <c r="M85" s="190"/>
      <c r="N85" s="190"/>
      <c r="O85" s="190"/>
      <c r="P85" s="190"/>
      <c r="Q85" s="190"/>
      <c r="R85" s="190"/>
      <c r="S85" s="190"/>
      <c r="T85" s="190"/>
      <c r="U85" s="190"/>
      <c r="V85" s="190"/>
      <c r="W85" s="190"/>
      <c r="X85" s="190"/>
      <c r="Y85" s="190"/>
      <c r="AR85" s="35"/>
      <c r="AS85" s="35"/>
      <c r="AT85" s="137"/>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row>
    <row r="86" spans="2:88" ht="15" customHeight="1" x14ac:dyDescent="0.3">
      <c r="D86" s="2" t="s">
        <v>359</v>
      </c>
      <c r="E86" s="190"/>
      <c r="F86" s="190"/>
      <c r="G86" s="190"/>
      <c r="H86" s="190"/>
      <c r="I86" s="190"/>
      <c r="J86" s="190"/>
      <c r="K86" s="190"/>
      <c r="L86" s="78"/>
      <c r="M86" s="78"/>
      <c r="N86" s="133" t="s">
        <v>148</v>
      </c>
      <c r="O86" s="190"/>
      <c r="P86" s="190"/>
      <c r="Q86" s="190"/>
      <c r="R86" s="190"/>
      <c r="S86" s="78"/>
      <c r="T86" s="78"/>
      <c r="U86" s="78"/>
      <c r="V86" s="133" t="s">
        <v>149</v>
      </c>
      <c r="W86" s="178"/>
      <c r="X86" s="178"/>
      <c r="Y86" s="178"/>
      <c r="AR86" s="35"/>
      <c r="AS86" s="35"/>
      <c r="AT86" s="137"/>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row>
    <row r="87" spans="2:88" ht="15" customHeight="1" x14ac:dyDescent="0.3">
      <c r="C87" s="79"/>
      <c r="D87" s="2" t="s">
        <v>146</v>
      </c>
      <c r="E87" s="205"/>
      <c r="F87" s="205"/>
      <c r="G87" s="205"/>
      <c r="H87" s="205"/>
      <c r="I87" s="205"/>
      <c r="J87" s="205"/>
      <c r="K87" s="205"/>
      <c r="L87" s="205"/>
      <c r="M87" s="205"/>
      <c r="N87" s="205"/>
      <c r="O87" s="205"/>
      <c r="P87" s="205"/>
      <c r="Q87" s="205"/>
      <c r="R87" s="205"/>
      <c r="S87" s="205"/>
      <c r="T87" s="205"/>
      <c r="U87" s="205"/>
      <c r="V87" s="205"/>
      <c r="W87" s="205"/>
      <c r="X87" s="205"/>
      <c r="Y87" s="205"/>
      <c r="AR87" s="35"/>
      <c r="AS87" s="35"/>
      <c r="AT87" s="137"/>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row>
    <row r="88" spans="2:88" ht="15" customHeight="1" x14ac:dyDescent="0.3">
      <c r="D88" s="2" t="s">
        <v>150</v>
      </c>
      <c r="E88" s="191"/>
      <c r="F88" s="191"/>
      <c r="G88" s="191"/>
      <c r="H88" s="191"/>
      <c r="I88" s="191"/>
      <c r="U88" s="67"/>
      <c r="V88" s="67"/>
      <c r="W88" s="67"/>
      <c r="AR88" s="35"/>
      <c r="AS88" s="35"/>
      <c r="AT88" s="137"/>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row>
    <row r="89" spans="2:88" ht="15" customHeight="1" x14ac:dyDescent="0.3">
      <c r="D89" s="2"/>
      <c r="E89" s="78"/>
      <c r="F89" s="78"/>
      <c r="G89" s="78"/>
      <c r="H89" s="78"/>
      <c r="I89" s="78"/>
      <c r="U89" s="67"/>
      <c r="V89" s="67"/>
      <c r="W89" s="67"/>
      <c r="AR89" s="35"/>
      <c r="AS89" s="35"/>
      <c r="AT89" s="137"/>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row>
    <row r="90" spans="2:88" ht="15" customHeight="1" x14ac:dyDescent="0.3">
      <c r="D90" s="2" t="s">
        <v>185</v>
      </c>
      <c r="E90" s="103"/>
      <c r="F90" s="103"/>
      <c r="G90" s="103"/>
      <c r="H90" s="103"/>
      <c r="I90" s="103"/>
      <c r="J90" s="103"/>
      <c r="K90" s="103"/>
      <c r="L90" s="103"/>
      <c r="M90" s="103"/>
      <c r="N90" s="103"/>
      <c r="O90" s="103"/>
      <c r="P90" s="103"/>
      <c r="Q90" s="103"/>
      <c r="R90" s="103"/>
      <c r="S90" s="103"/>
      <c r="T90" s="103"/>
      <c r="U90" s="67"/>
      <c r="V90" s="67"/>
      <c r="W90" s="67"/>
      <c r="AB90" s="2" t="s">
        <v>180</v>
      </c>
      <c r="AC90" s="177"/>
      <c r="AD90" s="177"/>
      <c r="AE90" s="177"/>
      <c r="AF90" s="177"/>
      <c r="AG90" s="177"/>
      <c r="AR90" s="35"/>
      <c r="AS90" s="35"/>
      <c r="AT90" s="137"/>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row>
    <row r="91" spans="2:88" ht="15" customHeight="1" x14ac:dyDescent="0.3">
      <c r="AR91" s="35"/>
      <c r="AS91" s="35"/>
      <c r="AT91" s="137"/>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row>
    <row r="92" spans="2:88" ht="15" customHeight="1" x14ac:dyDescent="0.3">
      <c r="AR92" s="35"/>
      <c r="AS92" s="35"/>
      <c r="AT92" s="137"/>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row>
    <row r="93" spans="2:88" ht="15" customHeight="1" x14ac:dyDescent="0.3">
      <c r="AR93" s="35"/>
      <c r="AS93" s="35"/>
      <c r="AT93" s="137"/>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row>
    <row r="94" spans="2:88" ht="15" customHeight="1" x14ac:dyDescent="0.3">
      <c r="AR94" s="35"/>
      <c r="AS94" s="35"/>
      <c r="AT94" s="137"/>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row>
    <row r="95" spans="2:88" ht="15" customHeight="1" x14ac:dyDescent="0.3">
      <c r="AR95" s="35"/>
      <c r="AS95" s="35"/>
      <c r="AT95" s="137"/>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row>
    <row r="96" spans="2:88" ht="15" customHeight="1" x14ac:dyDescent="0.3">
      <c r="AR96" s="35"/>
      <c r="AS96" s="35"/>
      <c r="AT96" s="137"/>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row>
    <row r="97" spans="44:88" ht="15" customHeight="1" x14ac:dyDescent="0.3">
      <c r="AR97" s="35"/>
      <c r="AS97" s="35"/>
      <c r="AT97" s="137"/>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row>
    <row r="98" spans="44:88" ht="15" customHeight="1" x14ac:dyDescent="0.3">
      <c r="AR98" s="35"/>
      <c r="AS98" s="35"/>
      <c r="AT98" s="137"/>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row>
    <row r="99" spans="44:88" ht="15" customHeight="1" x14ac:dyDescent="0.3">
      <c r="AR99" s="35"/>
      <c r="AS99" s="35"/>
      <c r="AT99" s="137"/>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row>
    <row r="100" spans="44:88" ht="15" customHeight="1" x14ac:dyDescent="0.3">
      <c r="AR100" s="35"/>
      <c r="AS100" s="35"/>
      <c r="AT100" s="137"/>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row>
    <row r="101" spans="44:88" ht="15" customHeight="1" x14ac:dyDescent="0.3">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row>
    <row r="102" spans="44:88" ht="15" customHeight="1" x14ac:dyDescent="0.3">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row>
    <row r="103" spans="44:88" ht="15" customHeight="1" x14ac:dyDescent="0.3">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row>
    <row r="104" spans="44:88" ht="15" customHeight="1" x14ac:dyDescent="0.3">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c r="CB104" s="35"/>
      <c r="CC104" s="35"/>
      <c r="CD104" s="35"/>
      <c r="CE104" s="35"/>
      <c r="CF104" s="35"/>
      <c r="CG104" s="35"/>
      <c r="CH104" s="35"/>
      <c r="CI104" s="35"/>
      <c r="CJ104" s="35"/>
    </row>
    <row r="105" spans="44:88" ht="15" customHeight="1" x14ac:dyDescent="0.3">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35"/>
      <c r="CE105" s="35"/>
      <c r="CF105" s="35"/>
      <c r="CG105" s="35"/>
      <c r="CH105" s="35"/>
      <c r="CI105" s="35"/>
      <c r="CJ105" s="35"/>
    </row>
    <row r="106" spans="44:88" ht="15" customHeight="1" x14ac:dyDescent="0.3">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c r="CB106" s="35"/>
      <c r="CC106" s="35"/>
      <c r="CD106" s="35"/>
      <c r="CE106" s="35"/>
      <c r="CF106" s="35"/>
      <c r="CG106" s="35"/>
      <c r="CH106" s="35"/>
      <c r="CI106" s="35"/>
      <c r="CJ106" s="35"/>
    </row>
    <row r="107" spans="44:88" ht="15" customHeight="1" x14ac:dyDescent="0.3">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35"/>
      <c r="CA107" s="35"/>
      <c r="CB107" s="35"/>
      <c r="CC107" s="35"/>
      <c r="CD107" s="35"/>
      <c r="CE107" s="35"/>
      <c r="CF107" s="35"/>
      <c r="CG107" s="35"/>
      <c r="CH107" s="35"/>
      <c r="CI107" s="35"/>
      <c r="CJ107" s="35"/>
    </row>
    <row r="108" spans="44:88" ht="15" customHeight="1" x14ac:dyDescent="0.3">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35"/>
      <c r="CA108" s="35"/>
      <c r="CB108" s="35"/>
      <c r="CC108" s="35"/>
      <c r="CD108" s="35"/>
      <c r="CE108" s="35"/>
      <c r="CF108" s="35"/>
      <c r="CG108" s="35"/>
      <c r="CH108" s="35"/>
      <c r="CI108" s="35"/>
      <c r="CJ108" s="35"/>
    </row>
    <row r="109" spans="44:88" ht="15" customHeight="1" x14ac:dyDescent="0.3">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c r="CB109" s="35"/>
      <c r="CC109" s="35"/>
      <c r="CD109" s="35"/>
      <c r="CE109" s="35"/>
      <c r="CF109" s="35"/>
      <c r="CG109" s="35"/>
      <c r="CH109" s="35"/>
      <c r="CI109" s="35"/>
      <c r="CJ109" s="35"/>
    </row>
    <row r="110" spans="44:88" ht="15" customHeight="1" x14ac:dyDescent="0.3">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35"/>
      <c r="CE110" s="35"/>
      <c r="CF110" s="35"/>
      <c r="CG110" s="35"/>
      <c r="CH110" s="35"/>
      <c r="CI110" s="35"/>
      <c r="CJ110" s="35"/>
    </row>
    <row r="111" spans="44:88" ht="15" customHeight="1" x14ac:dyDescent="0.3">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5"/>
      <c r="CC111" s="35"/>
      <c r="CD111" s="35"/>
      <c r="CE111" s="35"/>
      <c r="CF111" s="35"/>
      <c r="CG111" s="35"/>
      <c r="CH111" s="35"/>
      <c r="CI111" s="35"/>
      <c r="CJ111" s="35"/>
    </row>
    <row r="112" spans="44:88" ht="15" customHeight="1" x14ac:dyDescent="0.3">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c r="CB112" s="35"/>
      <c r="CC112" s="35"/>
      <c r="CD112" s="35"/>
      <c r="CE112" s="35"/>
      <c r="CF112" s="35"/>
      <c r="CG112" s="35"/>
      <c r="CH112" s="35"/>
      <c r="CI112" s="35"/>
      <c r="CJ112" s="35"/>
    </row>
    <row r="113" spans="2:88" ht="15" customHeight="1" x14ac:dyDescent="0.3">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5"/>
      <c r="CA113" s="35"/>
      <c r="CB113" s="35"/>
      <c r="CC113" s="35"/>
      <c r="CD113" s="35"/>
      <c r="CE113" s="35"/>
      <c r="CF113" s="35"/>
      <c r="CG113" s="35"/>
      <c r="CH113" s="35"/>
      <c r="CI113" s="35"/>
      <c r="CJ113" s="35"/>
    </row>
    <row r="114" spans="2:88" ht="15" customHeight="1" x14ac:dyDescent="0.3">
      <c r="B114" s="166">
        <f>Tables!C13</f>
        <v>45566</v>
      </c>
      <c r="C114" s="166"/>
      <c r="D114" s="166"/>
      <c r="E114" s="166"/>
      <c r="F114" s="166"/>
      <c r="G114" s="166"/>
      <c r="H114" s="166"/>
      <c r="R114" s="167" t="s">
        <v>434</v>
      </c>
      <c r="S114" s="167"/>
      <c r="T114" s="167"/>
      <c r="U114" s="167"/>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35"/>
      <c r="CE114" s="35"/>
      <c r="CF114" s="35"/>
      <c r="CG114" s="35"/>
      <c r="CH114" s="35"/>
      <c r="CI114" s="35"/>
      <c r="CJ114" s="35"/>
    </row>
    <row r="115" spans="2:88" ht="15" customHeight="1" x14ac:dyDescent="0.3">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35"/>
      <c r="CA115" s="35"/>
      <c r="CB115" s="35"/>
      <c r="CC115" s="35"/>
      <c r="CD115" s="35"/>
      <c r="CE115" s="35"/>
      <c r="CF115" s="35"/>
      <c r="CG115" s="35"/>
      <c r="CH115" s="35"/>
      <c r="CI115" s="35"/>
      <c r="CJ115" s="35"/>
    </row>
    <row r="116" spans="2:88" ht="15" customHeight="1" x14ac:dyDescent="0.3">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35"/>
      <c r="CE116" s="35"/>
      <c r="CF116" s="35"/>
      <c r="CG116" s="35"/>
      <c r="CH116" s="35"/>
      <c r="CI116" s="35"/>
      <c r="CJ116" s="35"/>
    </row>
    <row r="117" spans="2:88" ht="15" customHeight="1" x14ac:dyDescent="0.3">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c r="CB117" s="35"/>
      <c r="CC117" s="35"/>
      <c r="CD117" s="35"/>
      <c r="CE117" s="35"/>
      <c r="CF117" s="35"/>
      <c r="CG117" s="35"/>
      <c r="CH117" s="35"/>
      <c r="CI117" s="35"/>
      <c r="CJ117" s="35"/>
    </row>
  </sheetData>
  <sheetProtection algorithmName="SHA-512" hashValue="7/Oa+LMa0LJnpI18E3Ldt1rS+FKDtfGwL783TVjWn/nF4J1QYOREuVZ7mHe3zOKLSpQBLevF2zyKn79uIGEe3A==" saltValue="7CajrNEeLBLU0MNaU0sKnQ==" spinCount="100000" sheet="1" objects="1" scenarios="1" selectLockedCells="1"/>
  <mergeCells count="154">
    <mergeCell ref="BD1:BZ4"/>
    <mergeCell ref="AR6:BF7"/>
    <mergeCell ref="E7:X7"/>
    <mergeCell ref="AE7:AJ7"/>
    <mergeCell ref="F11:AJ11"/>
    <mergeCell ref="E14:Y14"/>
    <mergeCell ref="AE14:AJ14"/>
    <mergeCell ref="E15:Y15"/>
    <mergeCell ref="AE15:AJ15"/>
    <mergeCell ref="E16:K16"/>
    <mergeCell ref="O16:R16"/>
    <mergeCell ref="W16:Y16"/>
    <mergeCell ref="AE16:AJ16"/>
    <mergeCell ref="N1:AK4"/>
    <mergeCell ref="E17:Y17"/>
    <mergeCell ref="E18:Y18"/>
    <mergeCell ref="AE18:AJ18"/>
    <mergeCell ref="AH20:AI20"/>
    <mergeCell ref="F38:H38"/>
    <mergeCell ref="K38:M38"/>
    <mergeCell ref="N38:O38"/>
    <mergeCell ref="R38:T38"/>
    <mergeCell ref="U38:V38"/>
    <mergeCell ref="Y38:AA38"/>
    <mergeCell ref="AH22:AI22"/>
    <mergeCell ref="B33:D33"/>
    <mergeCell ref="F33:H33"/>
    <mergeCell ref="K33:M33"/>
    <mergeCell ref="R33:T33"/>
    <mergeCell ref="Y33:AA33"/>
    <mergeCell ref="F36:H36"/>
    <mergeCell ref="K36:M36"/>
    <mergeCell ref="N36:O36"/>
    <mergeCell ref="R36:T36"/>
    <mergeCell ref="U36:V36"/>
    <mergeCell ref="Y36:AA36"/>
    <mergeCell ref="F34:H34"/>
    <mergeCell ref="K34:M34"/>
    <mergeCell ref="N34:O34"/>
    <mergeCell ref="R34:T34"/>
    <mergeCell ref="U34:V34"/>
    <mergeCell ref="Y34:AA34"/>
    <mergeCell ref="F42:H42"/>
    <mergeCell ref="K42:M42"/>
    <mergeCell ref="N42:O42"/>
    <mergeCell ref="R42:T42"/>
    <mergeCell ref="U42:V42"/>
    <mergeCell ref="Y42:AA42"/>
    <mergeCell ref="F40:H40"/>
    <mergeCell ref="K40:M40"/>
    <mergeCell ref="N40:O40"/>
    <mergeCell ref="R40:T40"/>
    <mergeCell ref="U40:V40"/>
    <mergeCell ref="Y40:AA40"/>
    <mergeCell ref="F46:H46"/>
    <mergeCell ref="K46:M46"/>
    <mergeCell ref="N46:O46"/>
    <mergeCell ref="R46:T46"/>
    <mergeCell ref="U46:V46"/>
    <mergeCell ref="Y46:AA46"/>
    <mergeCell ref="F44:H44"/>
    <mergeCell ref="K44:M44"/>
    <mergeCell ref="N44:O44"/>
    <mergeCell ref="R44:T44"/>
    <mergeCell ref="U44:V44"/>
    <mergeCell ref="Y44:AA44"/>
    <mergeCell ref="F50:H50"/>
    <mergeCell ref="K50:M50"/>
    <mergeCell ref="N50:O50"/>
    <mergeCell ref="R50:T50"/>
    <mergeCell ref="U50:V50"/>
    <mergeCell ref="Y50:AA50"/>
    <mergeCell ref="F48:H48"/>
    <mergeCell ref="K48:M48"/>
    <mergeCell ref="N48:O48"/>
    <mergeCell ref="R48:T48"/>
    <mergeCell ref="U48:V48"/>
    <mergeCell ref="Y48:AA48"/>
    <mergeCell ref="F54:H54"/>
    <mergeCell ref="K54:M54"/>
    <mergeCell ref="N54:O54"/>
    <mergeCell ref="R54:T54"/>
    <mergeCell ref="U54:V54"/>
    <mergeCell ref="Y54:AA54"/>
    <mergeCell ref="F52:H52"/>
    <mergeCell ref="K52:M52"/>
    <mergeCell ref="N52:O52"/>
    <mergeCell ref="R52:T52"/>
    <mergeCell ref="U52:V52"/>
    <mergeCell ref="Y52:AA52"/>
    <mergeCell ref="F58:H58"/>
    <mergeCell ref="K58:M58"/>
    <mergeCell ref="N58:O58"/>
    <mergeCell ref="R58:T58"/>
    <mergeCell ref="U58:V58"/>
    <mergeCell ref="Y58:AA58"/>
    <mergeCell ref="F56:H56"/>
    <mergeCell ref="K56:M56"/>
    <mergeCell ref="N56:O56"/>
    <mergeCell ref="R56:T56"/>
    <mergeCell ref="U56:V56"/>
    <mergeCell ref="Y56:AA56"/>
    <mergeCell ref="B66:H66"/>
    <mergeCell ref="R66:U66"/>
    <mergeCell ref="F62:H62"/>
    <mergeCell ref="K62:M62"/>
    <mergeCell ref="N62:O62"/>
    <mergeCell ref="R62:T62"/>
    <mergeCell ref="U62:V62"/>
    <mergeCell ref="Y62:AA62"/>
    <mergeCell ref="F60:H60"/>
    <mergeCell ref="K60:M60"/>
    <mergeCell ref="N60:O60"/>
    <mergeCell ref="R60:T60"/>
    <mergeCell ref="U60:V60"/>
    <mergeCell ref="Y60:AA60"/>
    <mergeCell ref="B114:H114"/>
    <mergeCell ref="R114:U114"/>
    <mergeCell ref="E86:K86"/>
    <mergeCell ref="O86:R86"/>
    <mergeCell ref="W86:Y86"/>
    <mergeCell ref="E87:Y87"/>
    <mergeCell ref="E88:I88"/>
    <mergeCell ref="AC90:AG90"/>
    <mergeCell ref="D68:Y68"/>
    <mergeCell ref="AE68:AJ68"/>
    <mergeCell ref="B71:AJ76"/>
    <mergeCell ref="E83:Y83"/>
    <mergeCell ref="E84:Y84"/>
    <mergeCell ref="E85:Y85"/>
    <mergeCell ref="AB56:AC56"/>
    <mergeCell ref="AB58:AC58"/>
    <mergeCell ref="AB60:AC60"/>
    <mergeCell ref="AB62:AC62"/>
    <mergeCell ref="AB64:AC64"/>
    <mergeCell ref="R65:T65"/>
    <mergeCell ref="Y65:AA65"/>
    <mergeCell ref="K32:M32"/>
    <mergeCell ref="AB38:AC38"/>
    <mergeCell ref="AB40:AC40"/>
    <mergeCell ref="AB42:AC42"/>
    <mergeCell ref="AB44:AC44"/>
    <mergeCell ref="AB46:AC46"/>
    <mergeCell ref="AB48:AC48"/>
    <mergeCell ref="AB50:AC50"/>
    <mergeCell ref="AB52:AC52"/>
    <mergeCell ref="AB54:AC54"/>
    <mergeCell ref="K64:M64"/>
    <mergeCell ref="N64:O64"/>
    <mergeCell ref="R64:T64"/>
    <mergeCell ref="U64:V64"/>
    <mergeCell ref="Y64:AA64"/>
    <mergeCell ref="AB34:AC34"/>
    <mergeCell ref="AB36:AC36"/>
  </mergeCells>
  <conditionalFormatting sqref="B26">
    <cfRule type="expression" dxfId="183" priority="48">
      <formula>$AN$26=2</formula>
    </cfRule>
    <cfRule type="expression" dxfId="182" priority="47">
      <formula>$AM$26=1</formula>
    </cfRule>
    <cfRule type="expression" dxfId="181" priority="46">
      <formula>$AP$26=3</formula>
    </cfRule>
  </conditionalFormatting>
  <conditionalFormatting sqref="B28">
    <cfRule type="expression" dxfId="180" priority="50">
      <formula>$AM$28=1</formula>
    </cfRule>
    <cfRule type="expression" dxfId="179" priority="49">
      <formula>$AP$28=3</formula>
    </cfRule>
    <cfRule type="expression" dxfId="178" priority="51">
      <formula>$AN$28=2</formula>
    </cfRule>
  </conditionalFormatting>
  <conditionalFormatting sqref="B30">
    <cfRule type="expression" dxfId="177" priority="54">
      <formula>$AN$30=2</formula>
    </cfRule>
    <cfRule type="expression" dxfId="176" priority="53">
      <formula>$AM$30=1</formula>
    </cfRule>
    <cfRule type="expression" dxfId="175" priority="52">
      <formula>$AP$30=3</formula>
    </cfRule>
  </conditionalFormatting>
  <conditionalFormatting sqref="B33:D33 F33:H33">
    <cfRule type="expression" dxfId="174" priority="25">
      <formula>$AO$22=3</formula>
    </cfRule>
    <cfRule type="expression" dxfId="173" priority="24">
      <formula>$AO$22=0</formula>
    </cfRule>
  </conditionalFormatting>
  <conditionalFormatting sqref="B71:AJ76">
    <cfRule type="cellIs" priority="44" stopIfTrue="1" operator="greaterThan">
      <formula>0</formula>
    </cfRule>
    <cfRule type="expression" dxfId="172" priority="45">
      <formula>$AM$71=2</formula>
    </cfRule>
  </conditionalFormatting>
  <conditionalFormatting sqref="D68">
    <cfRule type="cellIs" dxfId="171" priority="33" operator="equal">
      <formula>0</formula>
    </cfRule>
  </conditionalFormatting>
  <conditionalFormatting sqref="E16">
    <cfRule type="expression" dxfId="170" priority="40">
      <formula>ISBLANK(E16)</formula>
    </cfRule>
  </conditionalFormatting>
  <conditionalFormatting sqref="E26">
    <cfRule type="expression" dxfId="169" priority="56">
      <formula>$AP$26=3</formula>
    </cfRule>
    <cfRule type="expression" dxfId="168" priority="55">
      <formula>$AM$26=1</formula>
    </cfRule>
  </conditionalFormatting>
  <conditionalFormatting sqref="E28">
    <cfRule type="expression" dxfId="167" priority="57">
      <formula>$AM$28=1</formula>
    </cfRule>
    <cfRule type="expression" dxfId="166" priority="58">
      <formula>$AP$28=3</formula>
    </cfRule>
  </conditionalFormatting>
  <conditionalFormatting sqref="E30">
    <cfRule type="expression" dxfId="165" priority="60">
      <formula>$AP$30=3</formula>
    </cfRule>
    <cfRule type="expression" dxfId="164" priority="59">
      <formula>$AM$30=1</formula>
    </cfRule>
  </conditionalFormatting>
  <conditionalFormatting sqref="E83:E84">
    <cfRule type="expression" dxfId="163" priority="39">
      <formula>ISBLANK(E83)</formula>
    </cfRule>
  </conditionalFormatting>
  <conditionalFormatting sqref="E86:E88">
    <cfRule type="expression" dxfId="162" priority="34">
      <formula>ISBLANK(E86)</formula>
    </cfRule>
  </conditionalFormatting>
  <conditionalFormatting sqref="E85:Y85">
    <cfRule type="expression" dxfId="161" priority="37">
      <formula>ISBLANK(E85)</formula>
    </cfRule>
  </conditionalFormatting>
  <conditionalFormatting sqref="F22">
    <cfRule type="expression" dxfId="160" priority="17">
      <formula>ISBLANK(F22)</formula>
    </cfRule>
  </conditionalFormatting>
  <conditionalFormatting sqref="F34 F36 F38 F40 F42 F44 F46 F48 F50 F52 F54 F56 F58 F60 F62">
    <cfRule type="cellIs" priority="30" stopIfTrue="1" operator="greaterThan">
      <formula>0</formula>
    </cfRule>
    <cfRule type="expression" dxfId="159" priority="31">
      <formula>$AM34=2</formula>
    </cfRule>
  </conditionalFormatting>
  <conditionalFormatting sqref="K34 R34 K36 R36 K38 R38 K40 R40 K42 R42 K44 R44 K46 R46 K48 R48 K50 R50 K52 R52 K54 R54 K56 R56 K58 R58 K60 R60 K62 R62">
    <cfRule type="expression" dxfId="158" priority="71">
      <formula>$AQ$18=2</formula>
    </cfRule>
    <cfRule type="expression" dxfId="157" priority="70">
      <formula>$AQ$18=1</formula>
    </cfRule>
    <cfRule type="cellIs" priority="72" stopIfTrue="1" operator="greaterThan">
      <formula>0</formula>
    </cfRule>
    <cfRule type="expression" dxfId="156" priority="73">
      <formula>$AN34=2</formula>
    </cfRule>
  </conditionalFormatting>
  <conditionalFormatting sqref="K32:M32">
    <cfRule type="expression" dxfId="155" priority="1">
      <formula>$AO$22=0</formula>
    </cfRule>
    <cfRule type="expression" dxfId="154" priority="2">
      <formula>$AO$22=3</formula>
    </cfRule>
  </conditionalFormatting>
  <conditionalFormatting sqref="K64:M64">
    <cfRule type="cellIs" dxfId="153" priority="79" operator="equal">
      <formula>0</formula>
    </cfRule>
    <cfRule type="expression" dxfId="152" priority="76">
      <formula>$AN$18=1</formula>
    </cfRule>
    <cfRule type="expression" dxfId="151" priority="77">
      <formula>$AO$18=2</formula>
    </cfRule>
    <cfRule type="cellIs" priority="78" stopIfTrue="1" operator="greaterThan">
      <formula>0</formula>
    </cfRule>
  </conditionalFormatting>
  <conditionalFormatting sqref="N34 U34 N36 U36 N38 U38 N40 U40 N42 U42 N44 U44 N46 U46 N48 U48 N50 U50 N52 U52 N54 U54 N56 U56 N58 U58 N60 U60 N62 U62 N64">
    <cfRule type="expression" dxfId="150" priority="75">
      <formula>$AQ$18=3</formula>
    </cfRule>
    <cfRule type="expression" dxfId="149" priority="74">
      <formula>$AM$18=0</formula>
    </cfRule>
  </conditionalFormatting>
  <conditionalFormatting sqref="O16">
    <cfRule type="expression" dxfId="148" priority="41">
      <formula>ISBLANK(O16)</formula>
    </cfRule>
  </conditionalFormatting>
  <conditionalFormatting sqref="O86">
    <cfRule type="expression" dxfId="147" priority="35">
      <formula>ISBLANK(O86)</formula>
    </cfRule>
  </conditionalFormatting>
  <conditionalFormatting sqref="R64">
    <cfRule type="cellIs" priority="26" stopIfTrue="1" operator="greaterThan">
      <formula>0</formula>
    </cfRule>
    <cfRule type="cellIs" dxfId="146" priority="27" operator="equal">
      <formula>0</formula>
    </cfRule>
  </conditionalFormatting>
  <conditionalFormatting sqref="R64:T64">
    <cfRule type="expression" dxfId="145" priority="18">
      <formula>$AQ$18=2</formula>
    </cfRule>
    <cfRule type="expression" dxfId="144" priority="19">
      <formula>$AQ$18=1</formula>
    </cfRule>
  </conditionalFormatting>
  <conditionalFormatting sqref="R65:T65">
    <cfRule type="cellIs" dxfId="143" priority="4" operator="equal">
      <formula>0</formula>
    </cfRule>
  </conditionalFormatting>
  <conditionalFormatting sqref="U64">
    <cfRule type="expression" dxfId="142" priority="23">
      <formula>$AQ$18=3</formula>
    </cfRule>
    <cfRule type="expression" dxfId="141" priority="22">
      <formula>$AM$18=0</formula>
    </cfRule>
  </conditionalFormatting>
  <conditionalFormatting sqref="V20 V22">
    <cfRule type="expression" dxfId="140" priority="64">
      <formula>$AM$20=0</formula>
    </cfRule>
    <cfRule type="expression" dxfId="139" priority="63">
      <formula>$AP$20=3</formula>
    </cfRule>
  </conditionalFormatting>
  <conditionalFormatting sqref="V24 Y24">
    <cfRule type="expression" dxfId="138" priority="80">
      <formula>$AP$18=3</formula>
    </cfRule>
    <cfRule type="expression" dxfId="137" priority="81">
      <formula>$AM$18=0</formula>
    </cfRule>
  </conditionalFormatting>
  <conditionalFormatting sqref="W16 F20">
    <cfRule type="expression" dxfId="136" priority="42">
      <formula>ISBLANK(F16)</formula>
    </cfRule>
  </conditionalFormatting>
  <conditionalFormatting sqref="W86">
    <cfRule type="expression" dxfId="135" priority="36">
      <formula>ISBLANK(W86)</formula>
    </cfRule>
  </conditionalFormatting>
  <conditionalFormatting sqref="Y34 Y36 Y38 Y40 Y42 Y44 Y46 Y48 Y50 Y52 Y54 Y56 Y58 Y60 Y62">
    <cfRule type="expression" dxfId="134" priority="14">
      <formula>$AN34=2</formula>
    </cfRule>
    <cfRule type="cellIs" priority="13" stopIfTrue="1" operator="greaterThan">
      <formula>0</formula>
    </cfRule>
    <cfRule type="expression" dxfId="133" priority="12">
      <formula>$AQ$18=2</formula>
    </cfRule>
    <cfRule type="expression" dxfId="132" priority="11">
      <formula>$AQ$18=1</formula>
    </cfRule>
  </conditionalFormatting>
  <conditionalFormatting sqref="Y64">
    <cfRule type="cellIs" dxfId="131" priority="10" operator="equal">
      <formula>0</formula>
    </cfRule>
    <cfRule type="cellIs" priority="9" stopIfTrue="1" operator="greaterThan">
      <formula>0</formula>
    </cfRule>
  </conditionalFormatting>
  <conditionalFormatting sqref="Y64:AA64">
    <cfRule type="expression" dxfId="130" priority="6">
      <formula>$AQ$18=1</formula>
    </cfRule>
    <cfRule type="expression" dxfId="129" priority="5">
      <formula>$AQ$18=2</formula>
    </cfRule>
  </conditionalFormatting>
  <conditionalFormatting sqref="Y65:AA65">
    <cfRule type="cellIs" dxfId="128" priority="3" operator="equal">
      <formula>0</formula>
    </cfRule>
  </conditionalFormatting>
  <conditionalFormatting sqref="AB34 AB36 AB38 AB40 AB42 AB44 AB46 AB48 AB50 AB52 AB54 AB56 AB58 AB60 AB62">
    <cfRule type="expression" dxfId="127" priority="16">
      <formula>$AQ$18=3</formula>
    </cfRule>
    <cfRule type="expression" dxfId="126" priority="15">
      <formula>$AM$18=0</formula>
    </cfRule>
  </conditionalFormatting>
  <conditionalFormatting sqref="AB64">
    <cfRule type="expression" dxfId="125" priority="8">
      <formula>$AQ$18=3</formula>
    </cfRule>
    <cfRule type="expression" dxfId="124" priority="7">
      <formula>$AM$18=0</formula>
    </cfRule>
  </conditionalFormatting>
  <conditionalFormatting sqref="AC90">
    <cfRule type="expression" dxfId="123" priority="38">
      <formula>ISBLANK(AC90)</formula>
    </cfRule>
  </conditionalFormatting>
  <conditionalFormatting sqref="AE34 AH34 AE36 AH36 AE38 AH38 AE40 AH40 AE42 AH42 AE44 AH44 AE46 AH46 AE48 AH48 AE50 AH50 AE52 AH52 AE54 AH54 AE56 AH56 AE58 AH58 AE60 AH60 AE62 AH62">
    <cfRule type="expression" dxfId="122" priority="67">
      <formula>$AQ34=3</formula>
    </cfRule>
    <cfRule type="expression" priority="68" stopIfTrue="1">
      <formula>$AP34=1</formula>
    </cfRule>
    <cfRule type="expression" dxfId="121" priority="69">
      <formula>$AN34=2</formula>
    </cfRule>
  </conditionalFormatting>
  <conditionalFormatting sqref="AE14:AJ14 E14:Y15 AE15 AE16:AJ16 E17:Y18 AE18:AJ18">
    <cfRule type="expression" dxfId="120" priority="43">
      <formula>ISBLANK(E14)</formula>
    </cfRule>
  </conditionalFormatting>
  <conditionalFormatting sqref="AE68:AJ68">
    <cfRule type="cellIs" dxfId="119" priority="32" operator="equal">
      <formula>0</formula>
    </cfRule>
  </conditionalFormatting>
  <conditionalFormatting sqref="AH20">
    <cfRule type="cellIs" priority="61" stopIfTrue="1" operator="greaterThan">
      <formula>0</formula>
    </cfRule>
    <cfRule type="expression" dxfId="118" priority="62">
      <formula>$AN$20=1</formula>
    </cfRule>
  </conditionalFormatting>
  <conditionalFormatting sqref="AH22">
    <cfRule type="cellIs" priority="65" stopIfTrue="1" operator="greaterThan">
      <formula>0</formula>
    </cfRule>
    <cfRule type="expression" dxfId="117" priority="66">
      <formula>$AO$20=1</formula>
    </cfRule>
  </conditionalFormatting>
  <printOptions horizontalCentered="1"/>
  <pageMargins left="0.25" right="0.25" top="0.25" bottom="0.25" header="0.3" footer="0.3"/>
  <pageSetup orientation="portrait" horizontalDpi="1200" verticalDpi="1200" r:id="rId1"/>
  <rowBreaks count="1" manualBreakCount="1">
    <brk id="67"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40FC-239C-4B7E-928C-842CA3520C8D}">
  <sheetPr codeName="Sheet6">
    <tabColor theme="8" tint="0.39997558519241921"/>
  </sheetPr>
  <dimension ref="A1:CD250"/>
  <sheetViews>
    <sheetView showGridLines="0" showRowColHeaders="0" showZeros="0" zoomScale="150" zoomScaleNormal="150" workbookViewId="0">
      <selection activeCell="AF15" sqref="AF15:AK15"/>
    </sheetView>
  </sheetViews>
  <sheetFormatPr defaultColWidth="0" defaultRowHeight="0" customHeight="1" zeroHeight="1" x14ac:dyDescent="0.3"/>
  <cols>
    <col min="1" max="38" width="2.6640625" style="39" customWidth="1"/>
    <col min="39" max="39" width="10.33203125" style="23" hidden="1" customWidth="1"/>
    <col min="40" max="40" width="8.5546875" style="23" hidden="1" customWidth="1"/>
    <col min="41" max="41" width="9.109375" style="23" hidden="1" customWidth="1"/>
    <col min="42" max="44" width="7.21875" style="23" hidden="1" customWidth="1"/>
    <col min="45" max="45" width="11" style="23" hidden="1" customWidth="1"/>
    <col min="46" max="46" width="2.77734375" style="39" customWidth="1"/>
    <col min="47" max="47" width="2.77734375" style="24" customWidth="1"/>
    <col min="48" max="82" width="2.77734375" style="39" customWidth="1"/>
    <col min="83" max="16384" width="2.77734375" style="39" hidden="1"/>
  </cols>
  <sheetData>
    <row r="1" spans="1:81" ht="15" customHeight="1" x14ac:dyDescent="0.3">
      <c r="N1" s="3"/>
      <c r="O1" s="3"/>
      <c r="P1" s="3"/>
      <c r="Q1" s="3"/>
      <c r="R1" s="25"/>
      <c r="S1" s="176" t="s">
        <v>233</v>
      </c>
      <c r="T1" s="176"/>
      <c r="U1" s="176"/>
      <c r="V1" s="176"/>
      <c r="W1" s="176"/>
      <c r="X1" s="176"/>
      <c r="Y1" s="176"/>
      <c r="Z1" s="176"/>
      <c r="AA1" s="176"/>
      <c r="AB1" s="176"/>
      <c r="AC1" s="176"/>
      <c r="AD1" s="176"/>
      <c r="AE1" s="176"/>
      <c r="AF1" s="176"/>
      <c r="AG1" s="176"/>
      <c r="AH1" s="176"/>
      <c r="AI1" s="176"/>
      <c r="AJ1" s="176"/>
      <c r="AK1" s="176"/>
      <c r="AL1" s="176"/>
      <c r="BB1" s="25"/>
      <c r="BC1" s="25"/>
      <c r="BD1" s="25"/>
      <c r="BE1" s="25"/>
      <c r="BF1" s="25"/>
      <c r="BG1" s="25"/>
      <c r="BH1" s="25"/>
      <c r="BI1" s="25"/>
      <c r="BJ1" s="25"/>
      <c r="BK1" s="176" t="str">
        <f>S1</f>
        <v>Form 3D - Bioretention Area
As-Built Certification Form</v>
      </c>
      <c r="BL1" s="176"/>
      <c r="BM1" s="176"/>
      <c r="BN1" s="176"/>
      <c r="BO1" s="176"/>
      <c r="BP1" s="176"/>
      <c r="BQ1" s="176"/>
      <c r="BR1" s="176"/>
      <c r="BS1" s="176"/>
      <c r="BT1" s="176"/>
      <c r="BU1" s="176"/>
      <c r="BV1" s="176"/>
      <c r="BW1" s="176"/>
      <c r="BX1" s="176"/>
      <c r="BY1" s="176"/>
      <c r="BZ1" s="176"/>
      <c r="CA1" s="176"/>
      <c r="CB1" s="176"/>
      <c r="CC1" s="176"/>
    </row>
    <row r="2" spans="1:81" ht="15" customHeight="1" x14ac:dyDescent="0.3">
      <c r="J2" s="3"/>
      <c r="K2" s="3"/>
      <c r="L2" s="3"/>
      <c r="M2" s="3"/>
      <c r="N2" s="3"/>
      <c r="O2" s="3"/>
      <c r="P2" s="3"/>
      <c r="Q2" s="3"/>
      <c r="R2" s="25"/>
      <c r="S2" s="176"/>
      <c r="T2" s="176"/>
      <c r="U2" s="176"/>
      <c r="V2" s="176"/>
      <c r="W2" s="176"/>
      <c r="X2" s="176"/>
      <c r="Y2" s="176"/>
      <c r="Z2" s="176"/>
      <c r="AA2" s="176"/>
      <c r="AB2" s="176"/>
      <c r="AC2" s="176"/>
      <c r="AD2" s="176"/>
      <c r="AE2" s="176"/>
      <c r="AF2" s="176"/>
      <c r="AG2" s="176"/>
      <c r="AH2" s="176"/>
      <c r="AI2" s="176"/>
      <c r="AJ2" s="176"/>
      <c r="AK2" s="176"/>
      <c r="AL2" s="176"/>
      <c r="BA2" s="25"/>
      <c r="BB2" s="25"/>
      <c r="BC2" s="25"/>
      <c r="BD2" s="25"/>
      <c r="BE2" s="25"/>
      <c r="BF2" s="25"/>
      <c r="BG2" s="25"/>
      <c r="BH2" s="25"/>
      <c r="BI2" s="25"/>
      <c r="BJ2" s="25"/>
      <c r="BK2" s="176"/>
      <c r="BL2" s="176"/>
      <c r="BM2" s="176"/>
      <c r="BN2" s="176"/>
      <c r="BO2" s="176"/>
      <c r="BP2" s="176"/>
      <c r="BQ2" s="176"/>
      <c r="BR2" s="176"/>
      <c r="BS2" s="176"/>
      <c r="BT2" s="176"/>
      <c r="BU2" s="176"/>
      <c r="BV2" s="176"/>
      <c r="BW2" s="176"/>
      <c r="BX2" s="176"/>
      <c r="BY2" s="176"/>
      <c r="BZ2" s="176"/>
      <c r="CA2" s="176"/>
      <c r="CB2" s="176"/>
      <c r="CC2" s="176"/>
    </row>
    <row r="3" spans="1:81" ht="15" customHeight="1" x14ac:dyDescent="0.3">
      <c r="J3" s="3"/>
      <c r="K3" s="3"/>
      <c r="L3" s="3"/>
      <c r="M3" s="3"/>
      <c r="N3" s="3"/>
      <c r="O3" s="3"/>
      <c r="P3" s="3"/>
      <c r="Q3" s="3"/>
      <c r="R3" s="25"/>
      <c r="S3" s="176"/>
      <c r="T3" s="176"/>
      <c r="U3" s="176"/>
      <c r="V3" s="176"/>
      <c r="W3" s="176"/>
      <c r="X3" s="176"/>
      <c r="Y3" s="176"/>
      <c r="Z3" s="176"/>
      <c r="AA3" s="176"/>
      <c r="AB3" s="176"/>
      <c r="AC3" s="176"/>
      <c r="AD3" s="176"/>
      <c r="AE3" s="176"/>
      <c r="AF3" s="176"/>
      <c r="AG3" s="176"/>
      <c r="AH3" s="176"/>
      <c r="AI3" s="176"/>
      <c r="AJ3" s="176"/>
      <c r="AK3" s="176"/>
      <c r="AL3" s="176"/>
      <c r="BA3" s="25"/>
      <c r="BB3" s="25"/>
      <c r="BC3" s="25"/>
      <c r="BD3" s="25"/>
      <c r="BE3" s="25"/>
      <c r="BF3" s="25"/>
      <c r="BG3" s="25"/>
      <c r="BH3" s="25"/>
      <c r="BI3" s="25"/>
      <c r="BJ3" s="25"/>
      <c r="BK3" s="176"/>
      <c r="BL3" s="176"/>
      <c r="BM3" s="176"/>
      <c r="BN3" s="176"/>
      <c r="BO3" s="176"/>
      <c r="BP3" s="176"/>
      <c r="BQ3" s="176"/>
      <c r="BR3" s="176"/>
      <c r="BS3" s="176"/>
      <c r="BT3" s="176"/>
      <c r="BU3" s="176"/>
      <c r="BV3" s="176"/>
      <c r="BW3" s="176"/>
      <c r="BX3" s="176"/>
      <c r="BY3" s="176"/>
      <c r="BZ3" s="176"/>
      <c r="CA3" s="176"/>
      <c r="CB3" s="176"/>
      <c r="CC3" s="176"/>
    </row>
    <row r="4" spans="1:81" ht="15" customHeight="1" x14ac:dyDescent="0.3">
      <c r="J4" s="3"/>
      <c r="K4" s="3"/>
      <c r="L4" s="3"/>
      <c r="M4" s="3"/>
      <c r="N4" s="3"/>
      <c r="O4" s="3"/>
      <c r="P4" s="3"/>
      <c r="Q4" s="3"/>
      <c r="R4" s="25"/>
      <c r="S4" s="176"/>
      <c r="T4" s="176"/>
      <c r="U4" s="176"/>
      <c r="V4" s="176"/>
      <c r="W4" s="176"/>
      <c r="X4" s="176"/>
      <c r="Y4" s="176"/>
      <c r="Z4" s="176"/>
      <c r="AA4" s="176"/>
      <c r="AB4" s="176"/>
      <c r="AC4" s="176"/>
      <c r="AD4" s="176"/>
      <c r="AE4" s="176"/>
      <c r="AF4" s="176"/>
      <c r="AG4" s="176"/>
      <c r="AH4" s="176"/>
      <c r="AI4" s="176"/>
      <c r="AJ4" s="176"/>
      <c r="AK4" s="176"/>
      <c r="AL4" s="176"/>
      <c r="BA4" s="25"/>
      <c r="BB4" s="25"/>
      <c r="BC4" s="25"/>
      <c r="BD4" s="25"/>
      <c r="BE4" s="25"/>
      <c r="BF4" s="25"/>
      <c r="BG4" s="25"/>
      <c r="BH4" s="25"/>
      <c r="BI4" s="25"/>
      <c r="BJ4" s="25"/>
      <c r="BK4" s="176"/>
      <c r="BL4" s="176"/>
      <c r="BM4" s="176"/>
      <c r="BN4" s="176"/>
      <c r="BO4" s="176"/>
      <c r="BP4" s="176"/>
      <c r="BQ4" s="176"/>
      <c r="BR4" s="176"/>
      <c r="BS4" s="176"/>
      <c r="BT4" s="176"/>
      <c r="BU4" s="176"/>
      <c r="BV4" s="176"/>
      <c r="BW4" s="176"/>
      <c r="BX4" s="176"/>
      <c r="BY4" s="176"/>
      <c r="BZ4" s="176"/>
      <c r="CA4" s="176"/>
      <c r="CB4" s="176"/>
      <c r="CC4" s="176"/>
    </row>
    <row r="5" spans="1:81" ht="4.95" customHeight="1" x14ac:dyDescent="0.3">
      <c r="J5" s="3"/>
      <c r="K5" s="3"/>
      <c r="L5" s="3"/>
      <c r="M5" s="3"/>
      <c r="N5" s="3"/>
      <c r="O5" s="3"/>
      <c r="P5" s="3"/>
      <c r="Q5" s="3"/>
      <c r="R5" s="26"/>
      <c r="S5" s="26"/>
      <c r="T5" s="26"/>
      <c r="U5" s="26"/>
      <c r="V5" s="26"/>
      <c r="W5" s="26"/>
      <c r="X5" s="26"/>
      <c r="Y5" s="26"/>
      <c r="Z5" s="26"/>
      <c r="AA5" s="26"/>
      <c r="AB5" s="26"/>
      <c r="AC5" s="26"/>
      <c r="AD5" s="26"/>
      <c r="AE5" s="26"/>
      <c r="AF5" s="26"/>
      <c r="AG5" s="26"/>
      <c r="AH5" s="26"/>
      <c r="AI5" s="26"/>
      <c r="AJ5" s="26"/>
      <c r="AK5" s="26"/>
    </row>
    <row r="6" spans="1:81" ht="15" customHeight="1" x14ac:dyDescent="0.3">
      <c r="A6" s="27"/>
      <c r="B6" s="28" t="s">
        <v>123</v>
      </c>
      <c r="C6" s="28"/>
      <c r="D6" s="28"/>
      <c r="E6" s="28"/>
      <c r="F6" s="28"/>
      <c r="G6" s="28"/>
      <c r="H6" s="28"/>
      <c r="I6" s="28"/>
      <c r="J6" s="29"/>
      <c r="K6" s="29"/>
      <c r="L6" s="29"/>
      <c r="M6" s="29"/>
      <c r="N6" s="29"/>
      <c r="O6" s="29"/>
      <c r="P6" s="29"/>
      <c r="Q6" s="29"/>
      <c r="R6" s="29"/>
      <c r="S6" s="29"/>
      <c r="T6" s="29"/>
      <c r="U6" s="29"/>
      <c r="V6" s="29"/>
      <c r="W6" s="29"/>
      <c r="X6" s="29"/>
      <c r="Y6" s="29"/>
      <c r="Z6" s="29"/>
      <c r="AA6" s="29"/>
      <c r="AB6" s="29"/>
      <c r="AC6" s="29"/>
      <c r="AD6" s="29"/>
      <c r="AE6" s="159" t="s">
        <v>447</v>
      </c>
      <c r="AF6" s="244">
        <f>'Form 2D - Design'!AE13</f>
        <v>0</v>
      </c>
      <c r="AG6" s="244"/>
      <c r="AH6" s="244"/>
      <c r="AI6" s="244"/>
      <c r="AJ6" s="244"/>
      <c r="AK6" s="244"/>
      <c r="AL6" s="30"/>
      <c r="AU6" s="168" t="s">
        <v>72</v>
      </c>
      <c r="AV6" s="168"/>
      <c r="AW6" s="168"/>
      <c r="AX6" s="168"/>
      <c r="AY6" s="168"/>
      <c r="AZ6" s="168"/>
      <c r="BA6" s="168"/>
      <c r="BB6" s="168"/>
      <c r="BC6" s="168"/>
      <c r="BD6" s="168"/>
      <c r="BE6" s="168"/>
      <c r="BF6" s="168"/>
    </row>
    <row r="7" spans="1:81" ht="15" customHeight="1" x14ac:dyDescent="0.3">
      <c r="A7" s="31"/>
      <c r="B7" s="10" t="s">
        <v>64</v>
      </c>
      <c r="C7" s="10"/>
      <c r="D7" s="10"/>
      <c r="E7" s="66"/>
      <c r="F7" s="66"/>
      <c r="G7" s="66"/>
      <c r="H7" s="224"/>
      <c r="I7" s="224"/>
      <c r="J7" s="224"/>
      <c r="K7" s="224"/>
      <c r="L7" s="224"/>
      <c r="M7" s="224"/>
      <c r="N7" s="224"/>
      <c r="O7" s="224"/>
      <c r="P7" s="224"/>
      <c r="Q7" s="224"/>
      <c r="R7" s="224"/>
      <c r="S7" s="224"/>
      <c r="T7" s="224"/>
      <c r="U7" s="224"/>
      <c r="V7" s="224"/>
      <c r="W7" s="224"/>
      <c r="X7" s="66"/>
      <c r="Y7" s="66"/>
      <c r="Z7" s="66"/>
      <c r="AA7" s="10"/>
      <c r="AB7" s="10"/>
      <c r="AC7" s="10"/>
      <c r="AD7" s="10"/>
      <c r="AE7" s="32" t="s">
        <v>21</v>
      </c>
      <c r="AF7" s="66"/>
      <c r="AG7" s="66"/>
      <c r="AH7" s="66"/>
      <c r="AI7" s="66"/>
      <c r="AJ7" s="66"/>
      <c r="AK7" s="66"/>
      <c r="AL7" s="33"/>
      <c r="AU7" s="168"/>
      <c r="AV7" s="168"/>
      <c r="AW7" s="168"/>
      <c r="AX7" s="168"/>
      <c r="AY7" s="168"/>
      <c r="AZ7" s="168"/>
      <c r="BA7" s="168"/>
      <c r="BB7" s="168"/>
      <c r="BC7" s="168"/>
      <c r="BD7" s="168"/>
      <c r="BE7" s="168"/>
      <c r="BF7" s="168"/>
    </row>
    <row r="8" spans="1:81" ht="4.95" customHeight="1" x14ac:dyDescent="0.3">
      <c r="A8" s="31"/>
      <c r="B8" s="10"/>
      <c r="C8" s="10"/>
      <c r="D8" s="10"/>
      <c r="E8" s="10"/>
      <c r="F8" s="10"/>
      <c r="G8" s="10"/>
      <c r="H8" s="10"/>
      <c r="I8" s="66"/>
      <c r="J8" s="10"/>
      <c r="K8" s="10"/>
      <c r="L8" s="10"/>
      <c r="M8" s="10"/>
      <c r="N8" s="10"/>
      <c r="O8" s="10"/>
      <c r="P8" s="10"/>
      <c r="Q8" s="10"/>
      <c r="R8" s="10"/>
      <c r="S8" s="10"/>
      <c r="T8" s="10"/>
      <c r="U8" s="10"/>
      <c r="V8" s="10"/>
      <c r="W8" s="10"/>
      <c r="X8" s="10"/>
      <c r="Y8" s="10"/>
      <c r="Z8" s="10"/>
      <c r="AA8" s="32"/>
      <c r="AB8" s="32"/>
      <c r="AC8" s="32"/>
      <c r="AD8" s="10"/>
      <c r="AE8" s="10"/>
      <c r="AF8" s="10"/>
      <c r="AG8" s="10"/>
      <c r="AH8" s="10"/>
      <c r="AI8" s="10"/>
      <c r="AJ8" s="10"/>
      <c r="AK8" s="10"/>
      <c r="AL8" s="33"/>
    </row>
    <row r="9" spans="1:81" ht="15" customHeight="1" x14ac:dyDescent="0.3">
      <c r="A9" s="31"/>
      <c r="B9" s="10" t="s">
        <v>22</v>
      </c>
      <c r="C9" s="10"/>
      <c r="D9" s="10"/>
      <c r="E9" s="10"/>
      <c r="F9" s="10"/>
      <c r="G9" s="10"/>
      <c r="H9" s="10"/>
      <c r="I9" s="34"/>
      <c r="J9" s="10" t="s">
        <v>132</v>
      </c>
      <c r="K9" s="10"/>
      <c r="L9" s="10"/>
      <c r="M9" s="10"/>
      <c r="N9" s="10"/>
      <c r="O9" s="10"/>
      <c r="P9" s="34"/>
      <c r="Q9" s="10" t="s">
        <v>133</v>
      </c>
      <c r="R9" s="10"/>
      <c r="S9" s="10"/>
      <c r="T9" s="10"/>
      <c r="U9" s="10"/>
      <c r="V9" s="10"/>
      <c r="W9" s="10"/>
      <c r="X9" s="10"/>
      <c r="Y9" s="10"/>
      <c r="Z9" s="34"/>
      <c r="AA9" s="10" t="s">
        <v>134</v>
      </c>
      <c r="AB9" s="10"/>
      <c r="AC9" s="10"/>
      <c r="AD9" s="10"/>
      <c r="AE9" s="10"/>
      <c r="AF9" s="10"/>
      <c r="AG9" s="34"/>
      <c r="AH9" s="10" t="s">
        <v>135</v>
      </c>
      <c r="AI9" s="10"/>
      <c r="AJ9" s="10"/>
      <c r="AK9" s="10"/>
      <c r="AL9" s="33"/>
      <c r="AU9" s="24">
        <v>1</v>
      </c>
      <c r="AV9" s="115" t="s">
        <v>96</v>
      </c>
      <c r="BB9" s="36"/>
      <c r="BC9" s="36"/>
      <c r="BD9" s="36"/>
      <c r="BE9" s="36"/>
      <c r="BF9" s="36"/>
    </row>
    <row r="10" spans="1:81" ht="4.95" customHeight="1" x14ac:dyDescent="0.3">
      <c r="A10" s="31"/>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33"/>
      <c r="AV10" s="115"/>
      <c r="BB10" s="36"/>
      <c r="BC10" s="36"/>
      <c r="BD10" s="36"/>
      <c r="BE10" s="36"/>
      <c r="BF10" s="36"/>
    </row>
    <row r="11" spans="1:81" ht="15" customHeight="1" x14ac:dyDescent="0.3">
      <c r="A11" s="31"/>
      <c r="B11" s="12" t="s">
        <v>23</v>
      </c>
      <c r="C11" s="32"/>
      <c r="D11" s="32"/>
      <c r="E11" s="12"/>
      <c r="F11" s="73"/>
      <c r="G11" s="73"/>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68"/>
      <c r="AK11" s="68"/>
      <c r="AL11" s="33"/>
      <c r="AV11" s="4" t="s">
        <v>98</v>
      </c>
      <c r="AW11" s="115" t="s">
        <v>287</v>
      </c>
      <c r="BB11" s="36"/>
      <c r="BC11" s="36"/>
      <c r="BD11" s="36"/>
      <c r="BE11" s="36"/>
      <c r="BF11" s="36"/>
    </row>
    <row r="12" spans="1:81" ht="4.95" customHeight="1" x14ac:dyDescent="0.3">
      <c r="A12" s="37"/>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38"/>
      <c r="AV12" s="4"/>
      <c r="AW12" s="115"/>
      <c r="BB12" s="36"/>
      <c r="BC12" s="36"/>
      <c r="BD12" s="36"/>
      <c r="BE12" s="36"/>
      <c r="BF12" s="36"/>
    </row>
    <row r="13" spans="1:81" ht="4.95" customHeight="1" x14ac:dyDescent="0.3">
      <c r="BB13" s="36"/>
      <c r="BC13" s="36"/>
      <c r="BD13" s="36"/>
      <c r="BE13" s="36"/>
      <c r="BF13" s="36"/>
    </row>
    <row r="14" spans="1:81" ht="15" customHeight="1" x14ac:dyDescent="0.3">
      <c r="A14" s="1" t="s">
        <v>0</v>
      </c>
      <c r="C14" s="1"/>
      <c r="D14" s="1"/>
      <c r="E14" s="1"/>
      <c r="F14" s="1"/>
      <c r="G14" s="1"/>
      <c r="H14" s="1"/>
      <c r="I14" s="1"/>
      <c r="AE14" s="2" t="str">
        <f>IF(Tables!C25=0,"",Tables!C25&amp;": ")</f>
        <v xml:space="preserve">ENG No.: </v>
      </c>
      <c r="AF14" s="187"/>
      <c r="AG14" s="187"/>
      <c r="AH14" s="187"/>
      <c r="AI14" s="187"/>
      <c r="AJ14" s="187"/>
      <c r="AK14" s="187"/>
      <c r="AM14" s="121">
        <f>LEN(AE14)</f>
        <v>9</v>
      </c>
      <c r="AV14" s="4" t="s">
        <v>99</v>
      </c>
      <c r="AW14" s="115" t="s">
        <v>97</v>
      </c>
      <c r="BB14" s="36"/>
      <c r="BC14" s="36"/>
      <c r="BD14" s="36"/>
      <c r="BE14" s="36"/>
      <c r="BF14" s="36"/>
    </row>
    <row r="15" spans="1:81" ht="15" customHeight="1" x14ac:dyDescent="0.3">
      <c r="C15" s="2"/>
      <c r="D15" s="2" t="s">
        <v>1</v>
      </c>
      <c r="E15" s="169">
        <f>'Form 2D - Design'!$E$13</f>
        <v>0</v>
      </c>
      <c r="F15" s="169"/>
      <c r="G15" s="169"/>
      <c r="H15" s="169"/>
      <c r="I15" s="169"/>
      <c r="J15" s="169"/>
      <c r="K15" s="169"/>
      <c r="L15" s="169"/>
      <c r="M15" s="169"/>
      <c r="N15" s="169"/>
      <c r="O15" s="169"/>
      <c r="P15" s="169"/>
      <c r="Q15" s="169"/>
      <c r="R15" s="169"/>
      <c r="S15" s="169"/>
      <c r="T15" s="169"/>
      <c r="U15" s="169"/>
      <c r="V15" s="169"/>
      <c r="W15" s="169"/>
      <c r="X15" s="169"/>
      <c r="Y15" s="169"/>
      <c r="Z15" s="169"/>
      <c r="AE15" s="2" t="s">
        <v>21</v>
      </c>
      <c r="AF15" s="232"/>
      <c r="AG15" s="232"/>
      <c r="AH15" s="232"/>
      <c r="AI15" s="232"/>
      <c r="AJ15" s="232"/>
      <c r="AK15" s="232"/>
      <c r="BA15" s="112"/>
      <c r="BB15" s="77"/>
      <c r="BC15" s="77"/>
      <c r="BD15" s="77"/>
      <c r="BE15" s="77"/>
      <c r="BF15" s="77"/>
    </row>
    <row r="16" spans="1:81" ht="15" customHeight="1" x14ac:dyDescent="0.3">
      <c r="C16" s="2"/>
      <c r="D16" s="2" t="s">
        <v>20</v>
      </c>
      <c r="E16" s="228">
        <f>'Form 2D - Design'!$E$14</f>
        <v>0</v>
      </c>
      <c r="F16" s="228"/>
      <c r="G16" s="228"/>
      <c r="H16" s="228"/>
      <c r="I16" s="228"/>
      <c r="J16" s="228"/>
      <c r="K16" s="228"/>
      <c r="L16" s="228"/>
      <c r="M16" s="228"/>
      <c r="N16" s="228"/>
      <c r="O16" s="228"/>
      <c r="P16" s="228"/>
      <c r="Q16" s="228"/>
      <c r="R16" s="228"/>
      <c r="S16" s="228"/>
      <c r="T16" s="228"/>
      <c r="U16" s="228"/>
      <c r="V16" s="228"/>
      <c r="W16" s="228"/>
      <c r="X16" s="228"/>
      <c r="Y16" s="228"/>
      <c r="Z16" s="228"/>
      <c r="AE16" s="2" t="s">
        <v>35</v>
      </c>
      <c r="AF16" s="171">
        <f>'Form 2D - Design'!AE14</f>
        <v>0</v>
      </c>
      <c r="AG16" s="171"/>
      <c r="AH16" s="171"/>
      <c r="AI16" s="171"/>
      <c r="AJ16" s="171"/>
      <c r="AK16" s="171"/>
      <c r="AU16" s="24">
        <v>2</v>
      </c>
      <c r="AV16" s="115" t="s">
        <v>110</v>
      </c>
      <c r="BA16" s="112"/>
      <c r="BB16" s="77"/>
      <c r="BC16" s="77"/>
      <c r="BD16" s="77"/>
      <c r="BE16" s="77"/>
      <c r="BF16" s="77"/>
    </row>
    <row r="17" spans="1:58" ht="4.95" customHeight="1" x14ac:dyDescent="0.3">
      <c r="H17" s="2"/>
      <c r="I17" s="2"/>
      <c r="AY17" s="112"/>
      <c r="AZ17" s="112"/>
      <c r="BB17" s="36"/>
      <c r="BC17" s="36"/>
      <c r="BD17" s="36"/>
      <c r="BE17" s="36"/>
      <c r="BF17" s="36"/>
    </row>
    <row r="18" spans="1:58" ht="15" customHeight="1" x14ac:dyDescent="0.3">
      <c r="B18" s="39" t="s">
        <v>128</v>
      </c>
      <c r="G18" s="70"/>
      <c r="H18" s="39" t="s">
        <v>125</v>
      </c>
      <c r="N18" s="70"/>
      <c r="O18" s="39" t="s">
        <v>126</v>
      </c>
      <c r="W18" s="4"/>
      <c r="X18" s="4"/>
      <c r="Y18" s="4"/>
      <c r="Z18" s="70"/>
      <c r="AA18" s="39" t="str">
        <f>Tables!C24</f>
        <v xml:space="preserve"> O&amp;M Agreement</v>
      </c>
      <c r="AH18" s="70"/>
      <c r="AI18" s="39" t="s">
        <v>129</v>
      </c>
      <c r="AV18" s="4" t="s">
        <v>98</v>
      </c>
      <c r="AW18" s="112" t="s">
        <v>351</v>
      </c>
      <c r="AX18" s="112"/>
      <c r="AY18" s="112"/>
      <c r="AZ18" s="112"/>
      <c r="BB18" s="36"/>
      <c r="BC18" s="36"/>
      <c r="BD18" s="36"/>
      <c r="BE18" s="36"/>
      <c r="BF18" s="36"/>
    </row>
    <row r="19" spans="1:58" ht="4.95" customHeight="1" x14ac:dyDescent="0.3">
      <c r="AX19" s="112"/>
      <c r="BB19" s="36"/>
      <c r="BC19" s="36"/>
      <c r="BD19" s="36"/>
      <c r="BE19" s="36"/>
      <c r="BF19" s="36"/>
    </row>
    <row r="20" spans="1:58" ht="15" customHeight="1" x14ac:dyDescent="0.3">
      <c r="A20" s="225" t="s">
        <v>236</v>
      </c>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W20" s="112" t="s">
        <v>352</v>
      </c>
      <c r="BA20" s="112"/>
      <c r="BB20" s="77"/>
      <c r="BC20" s="77"/>
      <c r="BD20" s="77"/>
      <c r="BE20" s="77"/>
      <c r="BF20" s="77"/>
    </row>
    <row r="21" spans="1:58" ht="15" customHeight="1" x14ac:dyDescent="0.3">
      <c r="B21" s="1" t="s">
        <v>59</v>
      </c>
      <c r="C21" s="1"/>
      <c r="D21" s="1"/>
      <c r="E21" s="1"/>
      <c r="F21" s="1"/>
      <c r="G21" s="1"/>
      <c r="I21" s="1"/>
      <c r="J21" s="1"/>
      <c r="K21" s="1"/>
      <c r="L21" s="1"/>
      <c r="M21" s="1"/>
      <c r="N21" s="1"/>
      <c r="O21" s="1"/>
      <c r="P21" s="1"/>
      <c r="Q21" s="1"/>
      <c r="R21" s="1"/>
      <c r="S21" s="100"/>
      <c r="U21" s="1" t="s">
        <v>60</v>
      </c>
      <c r="V21" s="1"/>
      <c r="W21" s="1"/>
      <c r="X21" s="1"/>
      <c r="Y21" s="1"/>
      <c r="Z21" s="1"/>
      <c r="AA21" s="1"/>
      <c r="AB21" s="1"/>
      <c r="AD21" s="1"/>
      <c r="AE21" s="1"/>
      <c r="AF21" s="1"/>
      <c r="AG21" s="1"/>
      <c r="AI21" s="69"/>
      <c r="AJ21" s="69"/>
      <c r="AV21" s="4" t="s">
        <v>99</v>
      </c>
      <c r="AW21" s="115" t="s">
        <v>103</v>
      </c>
      <c r="BA21" s="112"/>
      <c r="BB21" s="77"/>
      <c r="BC21" s="77"/>
      <c r="BD21" s="77"/>
      <c r="BE21" s="77"/>
      <c r="BF21" s="77"/>
    </row>
    <row r="22" spans="1:58" ht="14.55" customHeight="1" x14ac:dyDescent="0.3">
      <c r="M22" s="2" t="s">
        <v>208</v>
      </c>
      <c r="N22" s="223">
        <f>'Form 2D - Design'!L64</f>
        <v>0</v>
      </c>
      <c r="O22" s="223"/>
      <c r="P22" s="223"/>
      <c r="Q22" s="39" t="s">
        <v>209</v>
      </c>
      <c r="S22" s="100"/>
      <c r="AF22" s="2" t="s">
        <v>208</v>
      </c>
      <c r="AG22" s="172"/>
      <c r="AH22" s="172"/>
      <c r="AI22" s="172"/>
      <c r="AJ22" s="39" t="s">
        <v>209</v>
      </c>
      <c r="AV22" s="4" t="s">
        <v>113</v>
      </c>
      <c r="AW22" s="112" t="s">
        <v>353</v>
      </c>
      <c r="AX22" s="112"/>
      <c r="AY22" s="112"/>
      <c r="AZ22" s="112"/>
      <c r="BA22" s="67"/>
      <c r="BB22" s="76"/>
      <c r="BC22" s="76"/>
      <c r="BD22" s="76"/>
      <c r="BE22" s="76"/>
      <c r="BF22" s="76"/>
    </row>
    <row r="23" spans="1:58" ht="14.55" customHeight="1" x14ac:dyDescent="0.3">
      <c r="M23" s="2" t="s">
        <v>207</v>
      </c>
      <c r="N23" s="222">
        <f>'Form 2D - Design'!T66</f>
        <v>0</v>
      </c>
      <c r="O23" s="222"/>
      <c r="P23" s="222"/>
      <c r="Q23" s="39" t="s">
        <v>45</v>
      </c>
      <c r="S23" s="100"/>
      <c r="AF23" s="2" t="s">
        <v>207</v>
      </c>
      <c r="AG23" s="173"/>
      <c r="AH23" s="173"/>
      <c r="AI23" s="173"/>
      <c r="AJ23" s="39" t="s">
        <v>45</v>
      </c>
      <c r="AW23" s="112" t="s">
        <v>354</v>
      </c>
      <c r="AX23" s="112"/>
      <c r="AY23" s="112"/>
      <c r="AZ23" s="112"/>
      <c r="BA23" s="67"/>
      <c r="BB23" s="76"/>
      <c r="BC23" s="76"/>
      <c r="BD23" s="76"/>
      <c r="BE23" s="76"/>
      <c r="BF23" s="76"/>
    </row>
    <row r="24" spans="1:58" ht="4.95" customHeight="1" x14ac:dyDescent="0.3">
      <c r="S24" s="100"/>
      <c r="AX24" s="67"/>
      <c r="AY24" s="67"/>
      <c r="AZ24" s="67"/>
      <c r="BA24" s="92"/>
      <c r="BB24" s="96"/>
      <c r="BC24" s="96"/>
      <c r="BD24" s="96"/>
      <c r="BE24" s="96"/>
      <c r="BF24" s="96"/>
    </row>
    <row r="25" spans="1:58" ht="14.55" customHeight="1" x14ac:dyDescent="0.3">
      <c r="M25" s="2" t="s">
        <v>278</v>
      </c>
      <c r="N25" s="134">
        <f>'Form 2D - Design'!AE64</f>
        <v>0</v>
      </c>
      <c r="O25" s="39" t="s">
        <v>130</v>
      </c>
      <c r="P25" s="2"/>
      <c r="Q25" s="134">
        <f>'Form 2D - Design'!AH64</f>
        <v>0</v>
      </c>
      <c r="R25" s="39" t="s">
        <v>131</v>
      </c>
      <c r="S25" s="100"/>
      <c r="AF25" s="2" t="s">
        <v>278</v>
      </c>
      <c r="AG25" s="70"/>
      <c r="AH25" s="39" t="s">
        <v>130</v>
      </c>
      <c r="AI25" s="2"/>
      <c r="AJ25" s="70"/>
      <c r="AK25" s="39" t="s">
        <v>131</v>
      </c>
      <c r="AM25" s="121">
        <f>IF(AND(ISBLANK(AG25),ISBLANK(AJ25)),1,2)</f>
        <v>1</v>
      </c>
      <c r="AV25" s="4" t="s">
        <v>114</v>
      </c>
      <c r="AW25" s="115" t="s">
        <v>104</v>
      </c>
      <c r="AX25" s="67"/>
      <c r="AY25" s="67"/>
      <c r="AZ25" s="67"/>
      <c r="BB25" s="36"/>
      <c r="BC25" s="36"/>
      <c r="BD25" s="36"/>
      <c r="BE25" s="36"/>
      <c r="BF25" s="36"/>
    </row>
    <row r="26" spans="1:58" ht="4.95" customHeight="1" x14ac:dyDescent="0.3">
      <c r="S26" s="100"/>
      <c r="AI26" s="11"/>
      <c r="AJ26" s="11"/>
      <c r="AW26" s="92"/>
      <c r="AX26" s="92"/>
      <c r="AY26" s="92"/>
      <c r="AZ26" s="92"/>
      <c r="BB26" s="36"/>
      <c r="BC26" s="36"/>
      <c r="BD26" s="36"/>
      <c r="BE26" s="36"/>
      <c r="BF26" s="36"/>
    </row>
    <row r="27" spans="1:58" ht="14.55" customHeight="1" x14ac:dyDescent="0.3">
      <c r="E27" s="2" t="s">
        <v>211</v>
      </c>
      <c r="F27" s="134">
        <f>'Form 2D - Design'!H68</f>
        <v>0</v>
      </c>
      <c r="G27" s="39" t="s">
        <v>130</v>
      </c>
      <c r="H27" s="2"/>
      <c r="I27" s="134">
        <f>'Form 2D - Design'!K68</f>
        <v>0</v>
      </c>
      <c r="J27" s="39" t="s">
        <v>131</v>
      </c>
      <c r="M27" s="2" t="s">
        <v>210</v>
      </c>
      <c r="N27" s="227">
        <f>'Form 2D - Design'!P68</f>
        <v>0</v>
      </c>
      <c r="O27" s="227"/>
      <c r="P27" s="227"/>
      <c r="Q27" s="227"/>
      <c r="R27" s="227"/>
      <c r="S27" s="100"/>
      <c r="X27" s="2" t="s">
        <v>211</v>
      </c>
      <c r="Y27" s="70"/>
      <c r="Z27" s="39" t="s">
        <v>130</v>
      </c>
      <c r="AA27" s="2"/>
      <c r="AB27" s="70"/>
      <c r="AC27" s="39" t="s">
        <v>131</v>
      </c>
      <c r="AF27" s="2" t="s">
        <v>210</v>
      </c>
      <c r="AG27" s="164"/>
      <c r="AH27" s="164"/>
      <c r="AI27" s="164"/>
      <c r="AJ27" s="164"/>
      <c r="AK27" s="164"/>
      <c r="AM27" s="121">
        <f>IF(AND(ISBLANK(Y27),ISBLANK(AB27)),1,2)</f>
        <v>1</v>
      </c>
      <c r="AN27" s="121">
        <f>IF(ISBLANK(Y27),1,2)</f>
        <v>1</v>
      </c>
      <c r="AU27" s="24">
        <v>3</v>
      </c>
      <c r="AV27" s="115" t="s">
        <v>100</v>
      </c>
      <c r="BA27" s="118"/>
      <c r="BB27" s="99"/>
      <c r="BC27" s="99"/>
      <c r="BD27" s="99"/>
      <c r="BE27" s="99"/>
      <c r="BF27" s="99"/>
    </row>
    <row r="28" spans="1:58" ht="4.95" customHeight="1" x14ac:dyDescent="0.3">
      <c r="S28" s="100"/>
      <c r="AI28" s="11"/>
      <c r="AJ28" s="11"/>
      <c r="BA28" s="118"/>
      <c r="BB28" s="99"/>
      <c r="BC28" s="99"/>
      <c r="BD28" s="99"/>
      <c r="BE28" s="99"/>
      <c r="BF28" s="99"/>
    </row>
    <row r="29" spans="1:58" ht="14.55" customHeight="1" x14ac:dyDescent="0.3">
      <c r="B29" s="93" t="s">
        <v>220</v>
      </c>
      <c r="J29" s="4" t="s">
        <v>212</v>
      </c>
      <c r="N29" s="39" t="s">
        <v>213</v>
      </c>
      <c r="S29" s="100"/>
      <c r="U29" s="93" t="s">
        <v>220</v>
      </c>
      <c r="AC29" s="4" t="s">
        <v>212</v>
      </c>
      <c r="AG29" s="39" t="s">
        <v>213</v>
      </c>
      <c r="AV29" s="4" t="s">
        <v>98</v>
      </c>
      <c r="AW29" s="112" t="s">
        <v>286</v>
      </c>
      <c r="AY29" s="118"/>
      <c r="AZ29" s="118"/>
      <c r="BA29" s="112"/>
      <c r="BB29" s="77"/>
      <c r="BC29" s="77"/>
      <c r="BD29" s="77"/>
      <c r="BE29" s="77"/>
      <c r="BF29" s="77"/>
    </row>
    <row r="30" spans="1:58" ht="14.55" customHeight="1" x14ac:dyDescent="0.3">
      <c r="H30" s="2" t="s">
        <v>241</v>
      </c>
      <c r="I30" s="223">
        <f>'Form 2D - Design'!M71</f>
        <v>0</v>
      </c>
      <c r="J30" s="234"/>
      <c r="K30" s="234"/>
      <c r="L30" s="39" t="s">
        <v>44</v>
      </c>
      <c r="N30" s="223">
        <f>'Form 2D - Design'!R71</f>
        <v>0</v>
      </c>
      <c r="O30" s="234"/>
      <c r="P30" s="234"/>
      <c r="Q30" s="39" t="s">
        <v>45</v>
      </c>
      <c r="S30" s="100"/>
      <c r="AA30" s="2" t="s">
        <v>241</v>
      </c>
      <c r="AB30" s="172"/>
      <c r="AC30" s="172"/>
      <c r="AD30" s="172"/>
      <c r="AE30" s="39" t="s">
        <v>44</v>
      </c>
      <c r="AG30" s="172"/>
      <c r="AH30" s="172"/>
      <c r="AI30" s="172"/>
      <c r="AJ30" s="39" t="s">
        <v>45</v>
      </c>
      <c r="AV30" s="4" t="s">
        <v>99</v>
      </c>
      <c r="AW30" s="115" t="s">
        <v>108</v>
      </c>
      <c r="AX30" s="112"/>
      <c r="AY30" s="118"/>
      <c r="AZ30" s="118"/>
      <c r="BA30" s="112"/>
      <c r="BB30" s="77"/>
      <c r="BC30" s="77"/>
      <c r="BD30" s="77"/>
      <c r="BE30" s="77"/>
      <c r="BF30" s="77"/>
    </row>
    <row r="31" spans="1:58" ht="14.55" customHeight="1" x14ac:dyDescent="0.3">
      <c r="H31" s="2" t="s">
        <v>242</v>
      </c>
      <c r="I31" s="223">
        <f>'Form 2D - Design'!M72</f>
        <v>0</v>
      </c>
      <c r="J31" s="234"/>
      <c r="K31" s="234"/>
      <c r="L31" s="39" t="s">
        <v>44</v>
      </c>
      <c r="N31" s="223">
        <f>'Form 2D - Design'!R72</f>
        <v>0</v>
      </c>
      <c r="O31" s="234"/>
      <c r="P31" s="234"/>
      <c r="Q31" s="39" t="s">
        <v>45</v>
      </c>
      <c r="S31" s="100"/>
      <c r="AA31" s="2" t="s">
        <v>242</v>
      </c>
      <c r="AB31" s="173"/>
      <c r="AC31" s="173"/>
      <c r="AD31" s="173"/>
      <c r="AE31" s="39" t="s">
        <v>44</v>
      </c>
      <c r="AG31" s="173"/>
      <c r="AH31" s="173"/>
      <c r="AI31" s="173"/>
      <c r="AJ31" s="39" t="s">
        <v>45</v>
      </c>
      <c r="AW31" s="119" t="s">
        <v>116</v>
      </c>
      <c r="AX31" s="115" t="s">
        <v>109</v>
      </c>
      <c r="AY31" s="112"/>
      <c r="AZ31" s="112"/>
      <c r="BA31" s="67"/>
      <c r="BB31" s="76"/>
      <c r="BC31" s="76"/>
      <c r="BD31" s="76"/>
      <c r="BE31" s="76"/>
      <c r="BF31" s="76"/>
    </row>
    <row r="32" spans="1:58" ht="14.55" customHeight="1" x14ac:dyDescent="0.3">
      <c r="H32" s="2" t="s">
        <v>243</v>
      </c>
      <c r="I32" s="223">
        <f>'Form 2D - Design'!M73</f>
        <v>0</v>
      </c>
      <c r="J32" s="234"/>
      <c r="K32" s="234"/>
      <c r="L32" s="39" t="s">
        <v>44</v>
      </c>
      <c r="N32" s="223">
        <f>'Form 2D - Design'!R73</f>
        <v>0</v>
      </c>
      <c r="O32" s="234"/>
      <c r="P32" s="234"/>
      <c r="Q32" s="39" t="s">
        <v>45</v>
      </c>
      <c r="S32" s="100"/>
      <c r="AA32" s="2" t="s">
        <v>243</v>
      </c>
      <c r="AB32" s="173"/>
      <c r="AC32" s="173"/>
      <c r="AD32" s="173"/>
      <c r="AE32" s="39" t="s">
        <v>44</v>
      </c>
      <c r="AG32" s="173"/>
      <c r="AH32" s="173"/>
      <c r="AI32" s="173"/>
      <c r="AJ32" s="39" t="s">
        <v>45</v>
      </c>
      <c r="AW32" s="119" t="s">
        <v>116</v>
      </c>
      <c r="AX32" s="115" t="s">
        <v>101</v>
      </c>
      <c r="AY32" s="112"/>
      <c r="AZ32" s="112"/>
      <c r="BA32" s="67"/>
      <c r="BB32" s="76"/>
      <c r="BC32" s="76"/>
      <c r="BD32" s="76"/>
      <c r="BE32" s="76"/>
      <c r="BF32" s="76"/>
    </row>
    <row r="33" spans="2:52" ht="4.95" customHeight="1" x14ac:dyDescent="0.3">
      <c r="S33" s="100"/>
      <c r="AI33" s="11"/>
      <c r="AJ33" s="11"/>
      <c r="AY33" s="67"/>
      <c r="AZ33" s="67"/>
    </row>
    <row r="34" spans="2:52" ht="14.55" customHeight="1" x14ac:dyDescent="0.3">
      <c r="B34" s="93" t="s">
        <v>217</v>
      </c>
      <c r="K34" s="134">
        <f>'Form 2D - Design'!AC75</f>
        <v>0</v>
      </c>
      <c r="L34" s="39" t="s">
        <v>221</v>
      </c>
      <c r="S34" s="100"/>
      <c r="U34" s="93" t="s">
        <v>217</v>
      </c>
      <c r="AD34" s="70"/>
      <c r="AE34" s="39" t="s">
        <v>221</v>
      </c>
      <c r="AM34" s="121">
        <f>IF(ISBLANK(AD34),1,2)</f>
        <v>1</v>
      </c>
      <c r="AW34" s="119" t="s">
        <v>116</v>
      </c>
      <c r="AX34" s="39" t="s">
        <v>102</v>
      </c>
      <c r="AY34" s="67"/>
      <c r="AZ34" s="67"/>
    </row>
    <row r="35" spans="2:52" ht="14.55" customHeight="1" x14ac:dyDescent="0.3">
      <c r="E35" s="2" t="s">
        <v>172</v>
      </c>
      <c r="F35" s="227">
        <f>'Form 2D - Design'!M75</f>
        <v>0</v>
      </c>
      <c r="G35" s="227"/>
      <c r="H35" s="227"/>
      <c r="I35" s="227"/>
      <c r="S35" s="100"/>
      <c r="X35" s="2" t="s">
        <v>172</v>
      </c>
      <c r="Y35" s="164"/>
      <c r="Z35" s="164"/>
      <c r="AA35" s="164"/>
      <c r="AB35" s="164"/>
      <c r="AM35" s="121">
        <f>IF(ISBLANK(Y35),1,2)</f>
        <v>1</v>
      </c>
      <c r="AW35" s="119" t="s">
        <v>116</v>
      </c>
      <c r="AX35" s="39" t="str">
        <f>Tables!C24</f>
        <v xml:space="preserve"> O&amp;M Agreement</v>
      </c>
    </row>
    <row r="36" spans="2:52" ht="14.55" customHeight="1" x14ac:dyDescent="0.3">
      <c r="I36" s="39" t="s">
        <v>216</v>
      </c>
      <c r="N36" s="39" t="s">
        <v>43</v>
      </c>
      <c r="S36" s="100"/>
      <c r="AB36" s="39" t="s">
        <v>216</v>
      </c>
      <c r="AG36" s="39" t="s">
        <v>43</v>
      </c>
      <c r="AU36" s="24">
        <v>4</v>
      </c>
      <c r="AV36" s="115" t="s">
        <v>95</v>
      </c>
    </row>
    <row r="37" spans="2:52" ht="14.55" customHeight="1" x14ac:dyDescent="0.3">
      <c r="H37" s="2" t="s">
        <v>219</v>
      </c>
      <c r="I37" s="223">
        <f>'Form 2D - Design'!M76</f>
        <v>0</v>
      </c>
      <c r="J37" s="234"/>
      <c r="K37" s="234"/>
      <c r="L37" s="39" t="s">
        <v>44</v>
      </c>
      <c r="N37" s="223">
        <f>'Form 2D - Design'!W76</f>
        <v>0</v>
      </c>
      <c r="O37" s="234"/>
      <c r="P37" s="234"/>
      <c r="Q37" s="39" t="s">
        <v>45</v>
      </c>
      <c r="S37" s="100"/>
      <c r="AA37" s="2" t="s">
        <v>219</v>
      </c>
      <c r="AB37" s="172"/>
      <c r="AC37" s="172"/>
      <c r="AD37" s="172"/>
      <c r="AE37" s="39" t="s">
        <v>44</v>
      </c>
      <c r="AG37" s="172"/>
      <c r="AH37" s="172"/>
      <c r="AI37" s="172"/>
      <c r="AJ37" s="39" t="s">
        <v>45</v>
      </c>
      <c r="AV37" s="4" t="s">
        <v>98</v>
      </c>
      <c r="AW37" s="115" t="s">
        <v>288</v>
      </c>
    </row>
    <row r="38" spans="2:52" ht="14.55" customHeight="1" x14ac:dyDescent="0.3">
      <c r="H38" s="2" t="s">
        <v>218</v>
      </c>
      <c r="I38" s="222">
        <f>'Form 2D - Design'!M77</f>
        <v>0</v>
      </c>
      <c r="J38" s="229"/>
      <c r="K38" s="229"/>
      <c r="L38" s="39" t="s">
        <v>44</v>
      </c>
      <c r="N38" s="222">
        <f>'Form 2D - Design'!W77</f>
        <v>0</v>
      </c>
      <c r="O38" s="229"/>
      <c r="P38" s="229"/>
      <c r="Q38" s="39" t="s">
        <v>45</v>
      </c>
      <c r="S38" s="100"/>
      <c r="AA38" s="2" t="s">
        <v>218</v>
      </c>
      <c r="AB38" s="173"/>
      <c r="AC38" s="173"/>
      <c r="AD38" s="173"/>
      <c r="AE38" s="39" t="s">
        <v>44</v>
      </c>
      <c r="AG38" s="173"/>
      <c r="AH38" s="173"/>
      <c r="AI38" s="173"/>
      <c r="AJ38" s="39" t="s">
        <v>45</v>
      </c>
      <c r="AU38" s="39"/>
      <c r="AV38" s="4" t="s">
        <v>99</v>
      </c>
      <c r="AW38" s="115" t="s">
        <v>105</v>
      </c>
    </row>
    <row r="39" spans="2:52" ht="4.95" customHeight="1" x14ac:dyDescent="0.3">
      <c r="S39" s="100"/>
      <c r="AI39" s="11"/>
      <c r="AJ39" s="11"/>
      <c r="AU39" s="39"/>
      <c r="AX39" s="118"/>
    </row>
    <row r="40" spans="2:52" ht="14.55" customHeight="1" x14ac:dyDescent="0.3">
      <c r="B40" s="93" t="s">
        <v>240</v>
      </c>
      <c r="K40" s="134">
        <f>'Form 2D - Design'!AC79</f>
        <v>0</v>
      </c>
      <c r="L40" s="39" t="s">
        <v>252</v>
      </c>
      <c r="S40" s="100"/>
      <c r="U40" s="93" t="s">
        <v>240</v>
      </c>
      <c r="AD40" s="70"/>
      <c r="AE40" s="39" t="s">
        <v>252</v>
      </c>
      <c r="AK40" s="1"/>
      <c r="AM40" s="121">
        <f>IF(ISBLANK(AD40),1,2)</f>
        <v>1</v>
      </c>
      <c r="AV40" s="4" t="s">
        <v>113</v>
      </c>
      <c r="AW40" s="115" t="s">
        <v>106</v>
      </c>
    </row>
    <row r="41" spans="2:52" ht="4.95" customHeight="1" x14ac:dyDescent="0.3">
      <c r="S41" s="100"/>
    </row>
    <row r="42" spans="2:52" ht="14.55" customHeight="1" x14ac:dyDescent="0.3">
      <c r="E42" s="2" t="s">
        <v>172</v>
      </c>
      <c r="F42" s="227">
        <f>'Form 2D - Design'!M79</f>
        <v>0</v>
      </c>
      <c r="G42" s="227"/>
      <c r="H42" s="227"/>
      <c r="I42" s="227"/>
      <c r="N42" s="2" t="s">
        <v>171</v>
      </c>
      <c r="O42" s="223">
        <f>'Form 2D - Design'!M80</f>
        <v>0</v>
      </c>
      <c r="P42" s="223"/>
      <c r="Q42" s="223"/>
      <c r="R42" s="39" t="s">
        <v>44</v>
      </c>
      <c r="S42" s="100"/>
      <c r="X42" s="2" t="s">
        <v>172</v>
      </c>
      <c r="Y42" s="164"/>
      <c r="Z42" s="164"/>
      <c r="AA42" s="164"/>
      <c r="AB42" s="164"/>
      <c r="AF42" s="2" t="s">
        <v>171</v>
      </c>
      <c r="AG42" s="172"/>
      <c r="AH42" s="172"/>
      <c r="AI42" s="172"/>
      <c r="AJ42" s="39" t="s">
        <v>44</v>
      </c>
      <c r="AM42" s="121">
        <f>IF(ISBLANK(Y42),1,2)</f>
        <v>1</v>
      </c>
      <c r="AV42" s="4" t="s">
        <v>114</v>
      </c>
      <c r="AW42" s="115" t="s">
        <v>289</v>
      </c>
    </row>
    <row r="43" spans="2:52" ht="14.55" customHeight="1" x14ac:dyDescent="0.3">
      <c r="E43" s="2"/>
      <c r="N43" s="2" t="s">
        <v>251</v>
      </c>
      <c r="O43" s="235">
        <f>'Form 2D - Design'!W80</f>
        <v>0</v>
      </c>
      <c r="P43" s="235"/>
      <c r="Q43" s="235"/>
      <c r="R43" s="39" t="s">
        <v>215</v>
      </c>
      <c r="S43" s="100"/>
      <c r="AF43" s="2" t="s">
        <v>251</v>
      </c>
      <c r="AG43" s="174"/>
      <c r="AH43" s="174"/>
      <c r="AI43" s="174"/>
      <c r="AJ43" s="39" t="s">
        <v>215</v>
      </c>
      <c r="AV43" s="4" t="s">
        <v>112</v>
      </c>
      <c r="AW43" s="39" t="s">
        <v>290</v>
      </c>
    </row>
    <row r="44" spans="2:52" ht="4.95" customHeight="1" x14ac:dyDescent="0.3">
      <c r="S44" s="100"/>
      <c r="AU44" s="39"/>
    </row>
    <row r="45" spans="2:52" ht="14.55" customHeight="1" x14ac:dyDescent="0.3">
      <c r="B45" s="93" t="s">
        <v>244</v>
      </c>
      <c r="K45" s="134">
        <f>'Form 2D - Design'!AC82</f>
        <v>0</v>
      </c>
      <c r="L45" s="39" t="s">
        <v>284</v>
      </c>
      <c r="S45" s="100"/>
      <c r="U45" s="93" t="s">
        <v>244</v>
      </c>
      <c r="AD45" s="70"/>
      <c r="AE45" s="39" t="s">
        <v>284</v>
      </c>
      <c r="AM45" s="121">
        <f>IF(ISBLANK(AD45),1,2)</f>
        <v>1</v>
      </c>
      <c r="AU45" s="24">
        <v>5</v>
      </c>
      <c r="AV45" s="115" t="str">
        <f>"Form 3D – Bioretention Area As-built Certification Form shall be approved by the "&amp;Tables!C23&amp;" prior to:"</f>
        <v>Form 3D – Bioretention Area As-built Certification Form shall be approved by the City prior to:</v>
      </c>
    </row>
    <row r="46" spans="2:52" ht="4.95" customHeight="1" x14ac:dyDescent="0.3">
      <c r="B46" s="93"/>
      <c r="M46" s="2"/>
      <c r="N46" s="4"/>
      <c r="P46" s="2"/>
      <c r="Q46" s="4"/>
      <c r="S46" s="100"/>
      <c r="U46" s="93"/>
      <c r="AU46" s="39"/>
    </row>
    <row r="47" spans="2:52" ht="14.55" customHeight="1" x14ac:dyDescent="0.3">
      <c r="B47" s="93"/>
      <c r="M47" s="2" t="s">
        <v>168</v>
      </c>
      <c r="N47" s="134">
        <f>'Form 2D - Design'!AE86</f>
        <v>0</v>
      </c>
      <c r="O47" s="39" t="s">
        <v>130</v>
      </c>
      <c r="P47" s="2"/>
      <c r="Q47" s="134">
        <f>'Form 2D - Design'!AH86</f>
        <v>0</v>
      </c>
      <c r="R47" s="39" t="s">
        <v>131</v>
      </c>
      <c r="S47" s="100"/>
      <c r="U47" s="93"/>
      <c r="AF47" s="2" t="s">
        <v>168</v>
      </c>
      <c r="AG47" s="70"/>
      <c r="AH47" s="39" t="s">
        <v>130</v>
      </c>
      <c r="AI47" s="2"/>
      <c r="AJ47" s="70"/>
      <c r="AK47" s="39" t="s">
        <v>131</v>
      </c>
      <c r="AM47" s="121">
        <f>IF(AND(ISBLANK(AG47),ISBLANK(AJ47)),1,2)</f>
        <v>1</v>
      </c>
      <c r="AU47" s="39"/>
      <c r="AV47" s="4" t="s">
        <v>98</v>
      </c>
      <c r="AW47" s="115" t="s">
        <v>111</v>
      </c>
    </row>
    <row r="48" spans="2:52" ht="4.95" customHeight="1" x14ac:dyDescent="0.3">
      <c r="B48" s="93"/>
      <c r="M48" s="2"/>
      <c r="N48" s="4"/>
      <c r="P48" s="2"/>
      <c r="Q48" s="98"/>
      <c r="S48" s="100"/>
      <c r="U48" s="93"/>
      <c r="AF48" s="2"/>
      <c r="AG48" s="4"/>
      <c r="AI48" s="2"/>
      <c r="AJ48" s="98"/>
      <c r="AU48" s="39"/>
    </row>
    <row r="49" spans="2:49" ht="14.55" customHeight="1" x14ac:dyDescent="0.3">
      <c r="E49" s="2" t="s">
        <v>172</v>
      </c>
      <c r="F49" s="227">
        <f>'Form 2D - Design'!M82</f>
        <v>0</v>
      </c>
      <c r="G49" s="227"/>
      <c r="H49" s="227"/>
      <c r="I49" s="227"/>
      <c r="N49" s="2" t="s">
        <v>173</v>
      </c>
      <c r="O49" s="227">
        <f>'Form 2D - Design'!W82</f>
        <v>0</v>
      </c>
      <c r="P49" s="227"/>
      <c r="Q49" s="227"/>
      <c r="S49" s="100"/>
      <c r="X49" s="2" t="s">
        <v>172</v>
      </c>
      <c r="Y49" s="164"/>
      <c r="Z49" s="164"/>
      <c r="AA49" s="164"/>
      <c r="AB49" s="164"/>
      <c r="AG49" s="2" t="s">
        <v>173</v>
      </c>
      <c r="AH49" s="164"/>
      <c r="AI49" s="164"/>
      <c r="AJ49" s="164"/>
      <c r="AM49" s="121">
        <f>IF(ISBLANK(Y49),1,2)</f>
        <v>1</v>
      </c>
      <c r="AU49" s="39"/>
      <c r="AV49" s="4" t="s">
        <v>99</v>
      </c>
      <c r="AW49" s="115" t="s">
        <v>107</v>
      </c>
    </row>
    <row r="50" spans="2:49" ht="14.55" customHeight="1" x14ac:dyDescent="0.3">
      <c r="E50" s="2" t="s">
        <v>171</v>
      </c>
      <c r="F50" s="222">
        <f>'Form 2D - Design'!M84</f>
        <v>0</v>
      </c>
      <c r="G50" s="222"/>
      <c r="H50" s="222"/>
      <c r="I50" s="39" t="s">
        <v>44</v>
      </c>
      <c r="S50" s="100"/>
      <c r="X50" s="2" t="s">
        <v>171</v>
      </c>
      <c r="Y50" s="173"/>
      <c r="Z50" s="173"/>
      <c r="AA50" s="173"/>
      <c r="AB50" s="39" t="s">
        <v>44</v>
      </c>
      <c r="AM50" s="121">
        <f>IF(ISBLANK(Y50),1,2)</f>
        <v>1</v>
      </c>
      <c r="AU50" s="39"/>
    </row>
    <row r="51" spans="2:49" ht="14.55" customHeight="1" x14ac:dyDescent="0.3">
      <c r="E51" s="2" t="s">
        <v>170</v>
      </c>
      <c r="F51" s="222">
        <f>'Form 2D - Design'!W84</f>
        <v>0</v>
      </c>
      <c r="G51" s="222"/>
      <c r="H51" s="222"/>
      <c r="I51" s="39" t="s">
        <v>45</v>
      </c>
      <c r="N51" s="2" t="s">
        <v>174</v>
      </c>
      <c r="O51" s="223">
        <f>'Form 2D - Design'!AF84</f>
        <v>0</v>
      </c>
      <c r="P51" s="223"/>
      <c r="Q51" s="223"/>
      <c r="R51" s="39" t="s">
        <v>45</v>
      </c>
      <c r="S51" s="100"/>
      <c r="X51" s="2" t="s">
        <v>170</v>
      </c>
      <c r="Y51" s="173"/>
      <c r="Z51" s="173"/>
      <c r="AA51" s="173"/>
      <c r="AB51" s="39" t="s">
        <v>45</v>
      </c>
      <c r="AG51" s="2" t="s">
        <v>174</v>
      </c>
      <c r="AH51" s="172"/>
      <c r="AI51" s="172"/>
      <c r="AJ51" s="172"/>
      <c r="AK51" s="39" t="s">
        <v>45</v>
      </c>
      <c r="AM51" s="121">
        <f>IF(AND(ISBLANK(Y51),ISBLANK(AH51)),1,2)</f>
        <v>1</v>
      </c>
    </row>
    <row r="52" spans="2:49" ht="14.55" customHeight="1" x14ac:dyDescent="0.3">
      <c r="E52" s="2" t="s">
        <v>279</v>
      </c>
      <c r="F52" s="222">
        <f>'Form 2D - Design'!M86</f>
        <v>0</v>
      </c>
      <c r="G52" s="222"/>
      <c r="H52" s="222"/>
      <c r="I52" s="39" t="s">
        <v>45</v>
      </c>
      <c r="N52" s="2" t="s">
        <v>280</v>
      </c>
      <c r="O52" s="222">
        <f>'Form 2D - Design'!W86</f>
        <v>0</v>
      </c>
      <c r="P52" s="222"/>
      <c r="Q52" s="222"/>
      <c r="R52" s="39" t="s">
        <v>45</v>
      </c>
      <c r="S52" s="100"/>
      <c r="X52" s="2" t="s">
        <v>279</v>
      </c>
      <c r="Y52" s="173"/>
      <c r="Z52" s="173"/>
      <c r="AA52" s="173"/>
      <c r="AB52" s="39" t="s">
        <v>45</v>
      </c>
      <c r="AG52" s="2" t="s">
        <v>280</v>
      </c>
      <c r="AH52" s="173"/>
      <c r="AI52" s="173"/>
      <c r="AJ52" s="173"/>
      <c r="AK52" s="39" t="s">
        <v>45</v>
      </c>
    </row>
    <row r="53" spans="2:49" ht="4.95" customHeight="1" x14ac:dyDescent="0.3">
      <c r="S53" s="100"/>
    </row>
    <row r="54" spans="2:49" ht="14.55" customHeight="1" x14ac:dyDescent="0.3">
      <c r="B54" s="93" t="s">
        <v>245</v>
      </c>
      <c r="E54" s="2"/>
      <c r="F54" s="2"/>
      <c r="G54" s="2"/>
      <c r="H54" s="2"/>
      <c r="I54" s="2"/>
      <c r="J54" s="2"/>
      <c r="S54" s="100"/>
      <c r="U54" s="93" t="s">
        <v>245</v>
      </c>
      <c r="X54" s="2"/>
      <c r="Y54" s="2"/>
      <c r="Z54" s="2"/>
      <c r="AA54" s="2"/>
      <c r="AB54" s="2"/>
      <c r="AC54" s="2"/>
    </row>
    <row r="55" spans="2:49" ht="14.55" customHeight="1" x14ac:dyDescent="0.3">
      <c r="E55" s="2" t="s">
        <v>172</v>
      </c>
      <c r="F55" s="227">
        <f>'Form 2D - Design'!M88</f>
        <v>0</v>
      </c>
      <c r="G55" s="227"/>
      <c r="H55" s="227"/>
      <c r="I55" s="227"/>
      <c r="N55" s="2" t="s">
        <v>173</v>
      </c>
      <c r="O55" s="227">
        <f>'Form 2D - Design'!W88</f>
        <v>0</v>
      </c>
      <c r="P55" s="227"/>
      <c r="Q55" s="227"/>
      <c r="S55" s="100"/>
      <c r="X55" s="2" t="s">
        <v>172</v>
      </c>
      <c r="Y55" s="164"/>
      <c r="Z55" s="164"/>
      <c r="AA55" s="164"/>
      <c r="AB55" s="164"/>
      <c r="AG55" s="2" t="s">
        <v>173</v>
      </c>
      <c r="AH55" s="243"/>
      <c r="AI55" s="243"/>
      <c r="AJ55" s="243"/>
    </row>
    <row r="56" spans="2:49" ht="14.55" customHeight="1" x14ac:dyDescent="0.3">
      <c r="E56" s="2" t="s">
        <v>171</v>
      </c>
      <c r="F56" s="222">
        <f>'Form 2D - Design'!M89</f>
        <v>0</v>
      </c>
      <c r="G56" s="222"/>
      <c r="H56" s="222"/>
      <c r="I56" s="39" t="s">
        <v>44</v>
      </c>
      <c r="N56" s="2" t="s">
        <v>226</v>
      </c>
      <c r="O56" s="222">
        <f>'Form 2D - Design'!AF88</f>
        <v>0</v>
      </c>
      <c r="P56" s="222"/>
      <c r="Q56" s="222"/>
      <c r="R56" s="39" t="s">
        <v>45</v>
      </c>
      <c r="S56" s="100"/>
      <c r="X56" s="2" t="s">
        <v>171</v>
      </c>
      <c r="Y56" s="173"/>
      <c r="Z56" s="173"/>
      <c r="AA56" s="173"/>
      <c r="AB56" s="39" t="s">
        <v>44</v>
      </c>
      <c r="AG56" s="2" t="s">
        <v>226</v>
      </c>
      <c r="AH56" s="173"/>
      <c r="AI56" s="173"/>
      <c r="AJ56" s="173"/>
      <c r="AK56" s="39" t="s">
        <v>45</v>
      </c>
      <c r="AM56" s="121">
        <f>IF(ISBLANK(Y56),1,2)</f>
        <v>1</v>
      </c>
    </row>
    <row r="57" spans="2:49" ht="14.55" customHeight="1" x14ac:dyDescent="0.3">
      <c r="E57" s="2" t="s">
        <v>170</v>
      </c>
      <c r="F57" s="222">
        <f>'Form 2D - Design'!W89</f>
        <v>0</v>
      </c>
      <c r="G57" s="222"/>
      <c r="H57" s="222"/>
      <c r="I57" s="39" t="s">
        <v>45</v>
      </c>
      <c r="N57" s="2" t="s">
        <v>174</v>
      </c>
      <c r="O57" s="223">
        <f>'Form 2D - Design'!AF89</f>
        <v>0</v>
      </c>
      <c r="P57" s="223"/>
      <c r="Q57" s="223"/>
      <c r="R57" s="39" t="s">
        <v>45</v>
      </c>
      <c r="S57" s="100"/>
      <c r="X57" s="2" t="s">
        <v>170</v>
      </c>
      <c r="Y57" s="173"/>
      <c r="Z57" s="173"/>
      <c r="AA57" s="173"/>
      <c r="AB57" s="39" t="s">
        <v>45</v>
      </c>
      <c r="AG57" s="2" t="s">
        <v>174</v>
      </c>
      <c r="AH57" s="172"/>
      <c r="AI57" s="172"/>
      <c r="AJ57" s="172"/>
      <c r="AK57" s="39" t="s">
        <v>45</v>
      </c>
      <c r="AM57" s="121">
        <f>IF(AND(ISBLANK(Y57),ISBLANK(AH57)),1,2)</f>
        <v>1</v>
      </c>
    </row>
    <row r="58" spans="2:49" ht="4.95" customHeight="1" x14ac:dyDescent="0.3">
      <c r="S58" s="100"/>
      <c r="AU58" s="39"/>
    </row>
    <row r="59" spans="2:49" ht="15" customHeight="1" x14ac:dyDescent="0.3">
      <c r="AK59" s="41"/>
      <c r="AU59" s="39"/>
    </row>
    <row r="60" spans="2:49" ht="15" customHeight="1" x14ac:dyDescent="0.3">
      <c r="AK60" s="41"/>
      <c r="AU60" s="39"/>
    </row>
    <row r="61" spans="2:49" ht="15" customHeight="1" x14ac:dyDescent="0.3">
      <c r="B61" s="166">
        <f>Tables!$C$13</f>
        <v>45566</v>
      </c>
      <c r="C61" s="166"/>
      <c r="D61" s="166"/>
      <c r="E61" s="166"/>
      <c r="F61" s="166"/>
      <c r="G61" s="166"/>
      <c r="H61" s="166"/>
      <c r="R61" s="167" t="s">
        <v>464</v>
      </c>
      <c r="S61" s="167"/>
      <c r="T61" s="167"/>
      <c r="U61" s="167"/>
      <c r="AK61" s="41"/>
      <c r="AU61" s="39"/>
    </row>
    <row r="62" spans="2:49" ht="15" customHeight="1" x14ac:dyDescent="0.3">
      <c r="C62" s="2" t="s">
        <v>1</v>
      </c>
      <c r="D62" s="169">
        <f>IF(ISBLANK($E$15),"",$E$15)</f>
        <v>0</v>
      </c>
      <c r="E62" s="169"/>
      <c r="F62" s="169"/>
      <c r="G62" s="169"/>
      <c r="H62" s="169"/>
      <c r="I62" s="169"/>
      <c r="J62" s="169"/>
      <c r="K62" s="169"/>
      <c r="L62" s="169"/>
      <c r="M62" s="169"/>
      <c r="N62" s="169"/>
      <c r="O62" s="169"/>
      <c r="P62" s="169"/>
      <c r="Q62" s="169"/>
      <c r="R62" s="169"/>
      <c r="S62" s="169"/>
      <c r="T62" s="169"/>
      <c r="U62" s="169"/>
      <c r="V62" s="169"/>
      <c r="W62" s="169"/>
      <c r="X62" s="169"/>
      <c r="Y62" s="169"/>
      <c r="Z62" s="169"/>
      <c r="AA62" s="46"/>
      <c r="AB62" s="46"/>
      <c r="AC62" s="46"/>
      <c r="AF62" s="2" t="s">
        <v>21</v>
      </c>
      <c r="AG62" s="170">
        <f>AF15</f>
        <v>0</v>
      </c>
      <c r="AH62" s="170"/>
      <c r="AI62" s="170"/>
      <c r="AJ62" s="170"/>
      <c r="AK62" s="170"/>
      <c r="AU62" s="39"/>
    </row>
    <row r="63" spans="2:49" ht="15" customHeight="1" x14ac:dyDescent="0.3">
      <c r="H63" s="47"/>
      <c r="I63" s="47"/>
      <c r="J63" s="2"/>
      <c r="K63" s="2"/>
      <c r="L63" s="2"/>
      <c r="M63" s="47"/>
      <c r="N63" s="46"/>
      <c r="O63" s="46"/>
      <c r="P63" s="46"/>
      <c r="Q63" s="46"/>
      <c r="R63" s="46"/>
      <c r="S63" s="46"/>
      <c r="T63" s="46"/>
      <c r="U63" s="46"/>
      <c r="V63" s="46"/>
      <c r="W63" s="46"/>
      <c r="X63" s="46"/>
      <c r="Y63" s="46"/>
      <c r="Z63" s="46"/>
      <c r="AA63" s="46"/>
      <c r="AB63" s="46"/>
      <c r="AC63" s="46"/>
      <c r="AF63" s="2" t="s">
        <v>35</v>
      </c>
      <c r="AG63" s="220">
        <f>IF(ISBLANK($AF$16),"",$AF$16)</f>
        <v>0</v>
      </c>
      <c r="AH63" s="220"/>
      <c r="AI63" s="220"/>
      <c r="AJ63" s="220"/>
      <c r="AK63" s="220"/>
      <c r="AU63" s="39"/>
    </row>
    <row r="64" spans="2:49" ht="15" customHeight="1" x14ac:dyDescent="0.3">
      <c r="B64" s="1" t="s">
        <v>59</v>
      </c>
      <c r="H64" s="47"/>
      <c r="I64" s="47"/>
      <c r="J64" s="2"/>
      <c r="K64" s="2"/>
      <c r="L64" s="2"/>
      <c r="M64" s="47"/>
      <c r="N64" s="46"/>
      <c r="O64" s="46"/>
      <c r="P64" s="46"/>
      <c r="Q64" s="46"/>
      <c r="R64" s="46"/>
      <c r="T64" s="100"/>
      <c r="V64" s="1" t="s">
        <v>60</v>
      </c>
      <c r="W64" s="1"/>
      <c r="X64" s="1"/>
      <c r="Y64" s="1"/>
      <c r="Z64" s="1"/>
      <c r="AA64" s="1"/>
      <c r="AB64" s="1"/>
      <c r="AC64" s="1"/>
      <c r="AD64" s="1"/>
      <c r="AE64" s="1"/>
      <c r="AF64" s="1"/>
      <c r="AG64" s="1"/>
      <c r="AH64" s="1"/>
      <c r="AI64" s="1"/>
      <c r="AJ64" s="1"/>
      <c r="AK64" s="1"/>
      <c r="AL64" s="1"/>
      <c r="AU64" s="39"/>
    </row>
    <row r="65" spans="1:47" ht="15" customHeight="1" x14ac:dyDescent="0.3">
      <c r="B65" s="93" t="s">
        <v>281</v>
      </c>
      <c r="J65" s="39" t="s">
        <v>212</v>
      </c>
      <c r="O65" s="39" t="s">
        <v>281</v>
      </c>
      <c r="T65" s="100"/>
      <c r="V65" s="93" t="s">
        <v>281</v>
      </c>
      <c r="AC65" s="39" t="s">
        <v>212</v>
      </c>
      <c r="AH65" s="39" t="s">
        <v>281</v>
      </c>
      <c r="AU65" s="39"/>
    </row>
    <row r="66" spans="1:47" ht="15" customHeight="1" x14ac:dyDescent="0.3">
      <c r="I66" s="2" t="s">
        <v>282</v>
      </c>
      <c r="J66" s="223">
        <f>'Form 2D - Design'!M91</f>
        <v>0</v>
      </c>
      <c r="K66" s="234"/>
      <c r="L66" s="234"/>
      <c r="M66" s="39" t="s">
        <v>44</v>
      </c>
      <c r="O66" s="223">
        <f>'Form 2D - Design'!W91</f>
        <v>0</v>
      </c>
      <c r="P66" s="234"/>
      <c r="Q66" s="234"/>
      <c r="R66" s="39" t="s">
        <v>249</v>
      </c>
      <c r="T66" s="100"/>
      <c r="AB66" s="2" t="s">
        <v>282</v>
      </c>
      <c r="AC66" s="172"/>
      <c r="AD66" s="172"/>
      <c r="AE66" s="172"/>
      <c r="AF66" s="39" t="s">
        <v>44</v>
      </c>
      <c r="AH66" s="172"/>
      <c r="AI66" s="172"/>
      <c r="AJ66" s="172"/>
      <c r="AK66" s="39" t="s">
        <v>249</v>
      </c>
      <c r="AU66" s="39"/>
    </row>
    <row r="67" spans="1:47" ht="15" customHeight="1" x14ac:dyDescent="0.3">
      <c r="I67" s="2" t="s">
        <v>283</v>
      </c>
      <c r="J67" s="222">
        <f>'Form 2D - Design'!M93</f>
        <v>0</v>
      </c>
      <c r="K67" s="229"/>
      <c r="L67" s="229"/>
      <c r="M67" s="39" t="s">
        <v>44</v>
      </c>
      <c r="O67" s="222">
        <f>'Form 2D - Design'!W93</f>
        <v>0</v>
      </c>
      <c r="P67" s="229"/>
      <c r="Q67" s="229"/>
      <c r="R67" s="39" t="s">
        <v>249</v>
      </c>
      <c r="T67" s="100"/>
      <c r="AB67" s="2" t="s">
        <v>283</v>
      </c>
      <c r="AC67" s="173"/>
      <c r="AD67" s="173"/>
      <c r="AE67" s="173"/>
      <c r="AF67" s="39" t="s">
        <v>44</v>
      </c>
      <c r="AH67" s="173"/>
      <c r="AI67" s="173"/>
      <c r="AJ67" s="173"/>
      <c r="AK67" s="39" t="s">
        <v>249</v>
      </c>
      <c r="AU67" s="39"/>
    </row>
    <row r="68" spans="1:47" ht="4.95" customHeight="1" x14ac:dyDescent="0.3">
      <c r="B68" s="2"/>
      <c r="C68" s="2"/>
      <c r="D68" s="2"/>
      <c r="E68" s="2"/>
      <c r="F68" s="2"/>
      <c r="G68" s="2"/>
      <c r="J68" s="41"/>
      <c r="K68" s="41"/>
      <c r="L68" s="41"/>
      <c r="N68" s="41"/>
      <c r="O68" s="41"/>
      <c r="P68" s="41"/>
      <c r="R68" s="41"/>
      <c r="S68" s="41"/>
      <c r="T68" s="41"/>
      <c r="AA68" s="41"/>
      <c r="AB68" s="41"/>
      <c r="AC68" s="41"/>
      <c r="AE68" s="41"/>
      <c r="AF68" s="41"/>
      <c r="AG68" s="41"/>
      <c r="AI68" s="41"/>
      <c r="AJ68" s="41"/>
      <c r="AK68" s="41"/>
      <c r="AU68" s="39"/>
    </row>
    <row r="69" spans="1:47" ht="15" customHeight="1" x14ac:dyDescent="0.3">
      <c r="A69" s="225" t="s">
        <v>14</v>
      </c>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123"/>
      <c r="AO69" s="86" t="s">
        <v>368</v>
      </c>
      <c r="AP69" s="121">
        <f>IF(AND(ISBLANK(Z71),ISBLANK(AC71)),1,IF(LEN(Z71)&gt;0,1,0))</f>
        <v>1</v>
      </c>
      <c r="AU69" s="39"/>
    </row>
    <row r="70" spans="1:47" ht="4.9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123"/>
      <c r="AN70" s="123"/>
      <c r="AU70" s="39"/>
    </row>
    <row r="71" spans="1:47" ht="15" customHeight="1" x14ac:dyDescent="0.3">
      <c r="B71" s="1" t="s">
        <v>59</v>
      </c>
      <c r="C71" s="1"/>
      <c r="D71" s="1"/>
      <c r="E71" s="1"/>
      <c r="F71" s="134">
        <f>'Form 2D - Design'!K95</f>
        <v>0</v>
      </c>
      <c r="G71" s="39" t="s">
        <v>130</v>
      </c>
      <c r="I71" s="134">
        <f>'Form 2D - Design'!N95</f>
        <v>0</v>
      </c>
      <c r="J71" s="39" t="s">
        <v>131</v>
      </c>
      <c r="K71" s="1"/>
      <c r="L71" s="1"/>
      <c r="M71" s="1"/>
      <c r="N71" s="1"/>
      <c r="O71" s="1"/>
      <c r="P71" s="1"/>
      <c r="Q71" s="1"/>
      <c r="R71" s="1"/>
      <c r="S71" s="1"/>
      <c r="T71" s="100"/>
      <c r="V71" s="1" t="s">
        <v>60</v>
      </c>
      <c r="W71" s="1"/>
      <c r="X71" s="1"/>
      <c r="Y71" s="1"/>
      <c r="Z71" s="70"/>
      <c r="AA71" s="39" t="s">
        <v>130</v>
      </c>
      <c r="AC71" s="70"/>
      <c r="AD71" s="39" t="s">
        <v>131</v>
      </c>
      <c r="AE71" s="1"/>
      <c r="AF71" s="1"/>
      <c r="AG71" s="1"/>
      <c r="AH71" s="1"/>
      <c r="AI71" s="69"/>
      <c r="AJ71" s="69"/>
      <c r="AM71" s="121">
        <f>IF(AND(ISBLANK(Z71),ISBLANK(AC71)),1,2)</f>
        <v>1</v>
      </c>
      <c r="AN71" s="121">
        <f>IF(ISBLANK(AC71),1,2)</f>
        <v>1</v>
      </c>
      <c r="AO71" s="86" t="s">
        <v>84</v>
      </c>
      <c r="AP71" s="121">
        <f>SUM(AN72:AN74,AP72:AP74)</f>
        <v>0</v>
      </c>
      <c r="AQ71" s="121"/>
      <c r="AR71" s="121"/>
      <c r="AS71" s="121">
        <f>IF(ISBLANK(Z71),1,2)</f>
        <v>1</v>
      </c>
      <c r="AU71" s="39"/>
    </row>
    <row r="72" spans="1:47" ht="15" customHeight="1" x14ac:dyDescent="0.3">
      <c r="C72" s="2"/>
      <c r="D72" s="2" t="s">
        <v>30</v>
      </c>
      <c r="E72" s="169">
        <f>'Form 2D - Design'!F97</f>
        <v>0</v>
      </c>
      <c r="F72" s="169"/>
      <c r="G72" s="169"/>
      <c r="H72" s="169"/>
      <c r="N72" s="2" t="s">
        <v>33</v>
      </c>
      <c r="O72" s="169">
        <f>'Form 2D - Design'!O97</f>
        <v>0</v>
      </c>
      <c r="P72" s="169"/>
      <c r="Q72" s="169"/>
      <c r="R72" s="169"/>
      <c r="T72" s="100"/>
      <c r="X72" s="2" t="s">
        <v>30</v>
      </c>
      <c r="Y72" s="164"/>
      <c r="Z72" s="164"/>
      <c r="AA72" s="164"/>
      <c r="AB72" s="164"/>
      <c r="AG72" s="2" t="s">
        <v>33</v>
      </c>
      <c r="AH72" s="164"/>
      <c r="AI72" s="164"/>
      <c r="AJ72" s="164"/>
      <c r="AK72" s="164"/>
      <c r="AM72" s="86" t="s">
        <v>24</v>
      </c>
      <c r="AN72" s="121">
        <f>IF(ISBLANK(Y72),0,1)</f>
        <v>0</v>
      </c>
      <c r="AO72" s="86" t="s">
        <v>34</v>
      </c>
      <c r="AP72" s="121">
        <f>IF(ISBLANK(AH72),0,1)</f>
        <v>0</v>
      </c>
      <c r="AU72" s="39"/>
    </row>
    <row r="73" spans="1:47" ht="15" customHeight="1" x14ac:dyDescent="0.3">
      <c r="C73" s="2"/>
      <c r="D73" s="2" t="s">
        <v>42</v>
      </c>
      <c r="E73" s="231">
        <f>'Form 2D - Design'!F98</f>
        <v>0</v>
      </c>
      <c r="F73" s="231"/>
      <c r="G73" s="231"/>
      <c r="H73" s="39" t="s">
        <v>45</v>
      </c>
      <c r="N73" s="2" t="s">
        <v>46</v>
      </c>
      <c r="O73" s="231">
        <f>'Form 2D - Design'!O98</f>
        <v>0</v>
      </c>
      <c r="P73" s="231"/>
      <c r="Q73" s="231"/>
      <c r="R73" s="39" t="s">
        <v>45</v>
      </c>
      <c r="T73" s="100"/>
      <c r="X73" s="2" t="s">
        <v>42</v>
      </c>
      <c r="Y73" s="173"/>
      <c r="Z73" s="173"/>
      <c r="AA73" s="173"/>
      <c r="AB73" s="39" t="s">
        <v>45</v>
      </c>
      <c r="AG73" s="2" t="s">
        <v>46</v>
      </c>
      <c r="AH73" s="173"/>
      <c r="AI73" s="173"/>
      <c r="AJ73" s="173"/>
      <c r="AK73" s="39" t="s">
        <v>45</v>
      </c>
      <c r="AM73" s="86" t="s">
        <v>55</v>
      </c>
      <c r="AN73" s="121">
        <f>IF(ISBLANK(Y73),0,1)</f>
        <v>0</v>
      </c>
      <c r="AO73" s="86" t="s">
        <v>81</v>
      </c>
      <c r="AP73" s="121">
        <f>IF(ISBLANK(AH73),0,1)</f>
        <v>0</v>
      </c>
      <c r="AU73" s="39"/>
    </row>
    <row r="74" spans="1:47" ht="15" customHeight="1" x14ac:dyDescent="0.3">
      <c r="C74" s="2"/>
      <c r="D74" s="2" t="s">
        <v>47</v>
      </c>
      <c r="E74" s="231">
        <f>'Form 2D - Design'!W98</f>
        <v>0</v>
      </c>
      <c r="F74" s="231"/>
      <c r="G74" s="231"/>
      <c r="H74" s="39" t="s">
        <v>45</v>
      </c>
      <c r="N74" s="2" t="s">
        <v>122</v>
      </c>
      <c r="O74" s="231">
        <f>'Form 2D - Design'!AF98</f>
        <v>0</v>
      </c>
      <c r="P74" s="231"/>
      <c r="Q74" s="231"/>
      <c r="R74" s="39" t="s">
        <v>45</v>
      </c>
      <c r="T74" s="100"/>
      <c r="X74" s="2" t="s">
        <v>47</v>
      </c>
      <c r="Y74" s="173"/>
      <c r="Z74" s="173"/>
      <c r="AA74" s="173"/>
      <c r="AB74" s="39" t="s">
        <v>45</v>
      </c>
      <c r="AG74" s="2" t="s">
        <v>122</v>
      </c>
      <c r="AH74" s="173"/>
      <c r="AI74" s="173"/>
      <c r="AJ74" s="173"/>
      <c r="AK74" s="39" t="s">
        <v>45</v>
      </c>
      <c r="AM74" s="86" t="s">
        <v>82</v>
      </c>
      <c r="AN74" s="121">
        <f>IF(ISBLANK(Y74),0,1)</f>
        <v>0</v>
      </c>
      <c r="AO74" s="86" t="s">
        <v>83</v>
      </c>
      <c r="AP74" s="121">
        <f>IF(ISBLANK(AH74),0,1)</f>
        <v>0</v>
      </c>
      <c r="AU74" s="39"/>
    </row>
    <row r="75" spans="1:47" ht="4.95" customHeight="1" x14ac:dyDescent="0.3">
      <c r="B75" s="2"/>
      <c r="C75" s="2"/>
      <c r="D75" s="2"/>
      <c r="E75" s="2"/>
      <c r="F75" s="2"/>
      <c r="G75" s="2"/>
      <c r="H75" s="41"/>
      <c r="M75" s="2"/>
      <c r="N75" s="41"/>
      <c r="O75" s="41"/>
      <c r="P75" s="41"/>
      <c r="U75" s="2"/>
      <c r="V75" s="2"/>
      <c r="W75" s="41"/>
      <c r="X75" s="41"/>
      <c r="Y75" s="41"/>
      <c r="AD75" s="2"/>
      <c r="AE75" s="41"/>
      <c r="AF75" s="41"/>
      <c r="AG75" s="41"/>
      <c r="AM75" s="86"/>
      <c r="AO75" s="86"/>
      <c r="AU75" s="39"/>
    </row>
    <row r="76" spans="1:47" s="5" customFormat="1" ht="15" customHeight="1" x14ac:dyDescent="0.3">
      <c r="A76" s="226" t="s">
        <v>15</v>
      </c>
      <c r="B76" s="226"/>
      <c r="C76" s="226"/>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128"/>
      <c r="AN76" s="123"/>
      <c r="AO76" s="128"/>
      <c r="AP76" s="123"/>
      <c r="AQ76" s="123"/>
      <c r="AR76" s="123"/>
      <c r="AS76" s="23"/>
    </row>
    <row r="77" spans="1:47" ht="15" customHeight="1" x14ac:dyDescent="0.3">
      <c r="B77" s="1" t="s">
        <v>59</v>
      </c>
      <c r="C77" s="1"/>
      <c r="D77" s="1"/>
      <c r="E77" s="1"/>
      <c r="F77" s="1"/>
      <c r="H77" s="42" t="s">
        <v>48</v>
      </c>
      <c r="I77" s="239">
        <f>'Form 2D - Design'!O117</f>
        <v>0</v>
      </c>
      <c r="J77" s="239"/>
      <c r="K77" s="239"/>
      <c r="L77" s="239"/>
      <c r="O77" s="72"/>
      <c r="P77" s="72"/>
      <c r="Q77" s="1"/>
      <c r="R77" s="1"/>
      <c r="S77" s="1"/>
      <c r="T77" s="100"/>
      <c r="V77" s="1" t="s">
        <v>60</v>
      </c>
      <c r="W77" s="1"/>
      <c r="X77" s="1"/>
      <c r="Y77" s="43"/>
      <c r="AA77" s="42"/>
      <c r="AC77" s="42" t="s">
        <v>48</v>
      </c>
      <c r="AD77" s="201"/>
      <c r="AE77" s="201"/>
      <c r="AF77" s="201"/>
      <c r="AG77" s="201"/>
      <c r="AH77" s="43"/>
      <c r="AI77" s="43"/>
      <c r="AJ77" s="43"/>
      <c r="AK77" s="43"/>
      <c r="AM77" s="86" t="s">
        <v>154</v>
      </c>
      <c r="AN77" s="121">
        <f>IF(ISBLANK(AD77),0,1)</f>
        <v>0</v>
      </c>
      <c r="AO77" s="86" t="s">
        <v>156</v>
      </c>
      <c r="AP77" s="121">
        <f>SUM(AN77:AN78)</f>
        <v>0</v>
      </c>
      <c r="AU77" s="39"/>
    </row>
    <row r="78" spans="1:47" ht="15" customHeight="1" x14ac:dyDescent="0.3">
      <c r="B78" s="1"/>
      <c r="C78" s="1"/>
      <c r="D78" s="1"/>
      <c r="E78" s="1"/>
      <c r="F78" s="1"/>
      <c r="H78" s="2" t="s">
        <v>49</v>
      </c>
      <c r="I78" s="240">
        <f>'Form 2D - Design'!W117</f>
        <v>0</v>
      </c>
      <c r="J78" s="240"/>
      <c r="K78" s="240"/>
      <c r="L78" s="240"/>
      <c r="O78" s="72"/>
      <c r="P78" s="72"/>
      <c r="Q78" s="44"/>
      <c r="T78" s="100"/>
      <c r="AA78" s="2"/>
      <c r="AC78" s="2" t="s">
        <v>49</v>
      </c>
      <c r="AD78" s="241"/>
      <c r="AE78" s="241"/>
      <c r="AF78" s="241"/>
      <c r="AG78" s="241"/>
      <c r="AM78" s="86" t="s">
        <v>155</v>
      </c>
      <c r="AN78" s="121">
        <f>IF(ISBLANK(AD78),0,1)</f>
        <v>0</v>
      </c>
      <c r="AU78" s="39"/>
    </row>
    <row r="79" spans="1:47" ht="4.95" customHeight="1" x14ac:dyDescent="0.3">
      <c r="B79" s="1"/>
      <c r="C79" s="1"/>
      <c r="D79" s="1"/>
      <c r="E79" s="1"/>
      <c r="F79" s="1"/>
      <c r="G79" s="1"/>
      <c r="J79" s="2"/>
      <c r="K79" s="2"/>
      <c r="L79" s="2"/>
      <c r="M79" s="44"/>
      <c r="N79" s="44"/>
      <c r="O79" s="44"/>
      <c r="P79" s="44"/>
      <c r="Q79" s="44"/>
      <c r="U79" s="2"/>
      <c r="Z79" s="2"/>
      <c r="AA79" s="2"/>
      <c r="AB79" s="2"/>
      <c r="AC79" s="44"/>
      <c r="AD79" s="44"/>
      <c r="AE79" s="44"/>
      <c r="AF79" s="44"/>
      <c r="AU79" s="39"/>
    </row>
    <row r="80" spans="1:47" ht="15" customHeight="1" x14ac:dyDescent="0.3">
      <c r="A80" s="225" t="s">
        <v>61</v>
      </c>
      <c r="B80" s="22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123"/>
      <c r="AN80" s="123"/>
      <c r="AU80" s="39"/>
    </row>
    <row r="81" spans="1:47" ht="15" customHeight="1" x14ac:dyDescent="0.3">
      <c r="B81" s="1" t="s">
        <v>59</v>
      </c>
      <c r="C81" s="1"/>
      <c r="D81" s="1"/>
      <c r="E81" s="1"/>
      <c r="F81" s="1"/>
      <c r="I81" s="40" t="s">
        <v>62</v>
      </c>
      <c r="J81" s="242">
        <f>'Form 2D - Design'!W27</f>
        <v>0</v>
      </c>
      <c r="K81" s="242"/>
      <c r="L81" s="242"/>
      <c r="M81" s="39" t="s">
        <v>39</v>
      </c>
      <c r="T81" s="100"/>
      <c r="V81" s="1" t="s">
        <v>60</v>
      </c>
      <c r="W81" s="1"/>
      <c r="X81" s="1"/>
      <c r="AC81" s="40" t="s">
        <v>63</v>
      </c>
      <c r="AD81" s="185"/>
      <c r="AE81" s="185"/>
      <c r="AF81" s="185"/>
      <c r="AG81" s="39" t="s">
        <v>39</v>
      </c>
      <c r="AM81" s="86" t="s">
        <v>159</v>
      </c>
      <c r="AN81" s="121">
        <f>IF(OR(AD81&gt;J81,AD81=J81),1,2)</f>
        <v>1</v>
      </c>
      <c r="AU81" s="39"/>
    </row>
    <row r="82" spans="1:47" ht="4.95" customHeight="1" x14ac:dyDescent="0.3">
      <c r="B82" s="1"/>
      <c r="C82" s="1"/>
      <c r="D82" s="1"/>
      <c r="E82" s="1"/>
      <c r="F82" s="1"/>
      <c r="G82" s="1"/>
      <c r="H82" s="1"/>
      <c r="M82" s="40"/>
      <c r="N82" s="7"/>
      <c r="O82" s="7"/>
      <c r="P82" s="7"/>
      <c r="U82" s="2"/>
      <c r="V82" s="40"/>
      <c r="W82" s="43"/>
      <c r="X82" s="43"/>
      <c r="Y82" s="43"/>
      <c r="AD82" s="40"/>
      <c r="AE82" s="45"/>
      <c r="AF82" s="45"/>
      <c r="AG82" s="45"/>
      <c r="AU82" s="39"/>
    </row>
    <row r="83" spans="1:47" ht="15" customHeight="1" x14ac:dyDescent="0.3">
      <c r="A83" s="225" t="s">
        <v>16</v>
      </c>
      <c r="B83" s="225"/>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123"/>
      <c r="AN83" s="121">
        <f>IF(OR(J81=0,ISBLANK(AD81)),2,1)</f>
        <v>2</v>
      </c>
      <c r="AU83" s="39"/>
    </row>
    <row r="84" spans="1:47" ht="15" customHeight="1" x14ac:dyDescent="0.3">
      <c r="B84" s="1" t="s">
        <v>59</v>
      </c>
      <c r="C84" s="1"/>
      <c r="D84" s="1"/>
      <c r="E84" s="1"/>
      <c r="F84" s="1"/>
      <c r="H84" s="1"/>
      <c r="T84" s="100"/>
      <c r="V84" s="1" t="s">
        <v>60</v>
      </c>
      <c r="X84" s="1"/>
      <c r="Y84" s="1"/>
      <c r="AU84" s="39"/>
    </row>
    <row r="85" spans="1:47" ht="15" customHeight="1" x14ac:dyDescent="0.3">
      <c r="C85" s="4" t="s">
        <v>17</v>
      </c>
      <c r="G85" s="167" t="s">
        <v>18</v>
      </c>
      <c r="H85" s="167"/>
      <c r="I85" s="167"/>
      <c r="J85" s="167"/>
      <c r="K85" s="4"/>
      <c r="M85" s="39" t="s">
        <v>52</v>
      </c>
      <c r="T85" s="100"/>
      <c r="U85" s="2"/>
      <c r="W85" s="4" t="s">
        <v>17</v>
      </c>
      <c r="X85" s="4"/>
      <c r="Y85" s="4"/>
      <c r="AA85" s="167" t="s">
        <v>18</v>
      </c>
      <c r="AB85" s="167"/>
      <c r="AC85" s="167"/>
      <c r="AD85" s="167"/>
      <c r="AG85" s="39" t="s">
        <v>52</v>
      </c>
      <c r="AU85" s="39"/>
    </row>
    <row r="86" spans="1:47" ht="15" customHeight="1" x14ac:dyDescent="0.3">
      <c r="B86" s="223">
        <f>'Form 2D - Design'!C102</f>
        <v>0</v>
      </c>
      <c r="C86" s="223"/>
      <c r="D86" s="223"/>
      <c r="E86" s="39" t="s">
        <v>45</v>
      </c>
      <c r="G86" s="230">
        <f>'Form 2D - Design'!H102</f>
        <v>0</v>
      </c>
      <c r="H86" s="230"/>
      <c r="I86" s="230"/>
      <c r="J86" s="230"/>
      <c r="K86" s="39" t="s">
        <v>41</v>
      </c>
      <c r="M86" s="230">
        <f>'Form 2D - Design'!M102</f>
        <v>0</v>
      </c>
      <c r="N86" s="230"/>
      <c r="O86" s="230"/>
      <c r="P86" s="230"/>
      <c r="Q86" s="39" t="s">
        <v>39</v>
      </c>
      <c r="T86" s="100"/>
      <c r="U86" s="2"/>
      <c r="V86" s="172"/>
      <c r="W86" s="172"/>
      <c r="X86" s="172"/>
      <c r="Y86" s="39" t="s">
        <v>45</v>
      </c>
      <c r="AA86" s="185"/>
      <c r="AB86" s="185"/>
      <c r="AC86" s="185"/>
      <c r="AD86" s="185"/>
      <c r="AE86" s="39" t="s">
        <v>41</v>
      </c>
      <c r="AG86" s="185"/>
      <c r="AH86" s="185"/>
      <c r="AI86" s="185"/>
      <c r="AJ86" s="185"/>
      <c r="AK86" s="39" t="s">
        <v>39</v>
      </c>
      <c r="AM86" s="121">
        <f>IF(ISBLANK(AA86),0,1)</f>
        <v>0</v>
      </c>
      <c r="AN86" s="121">
        <f>IF(ISBLANK(AG86),0,1)</f>
        <v>0</v>
      </c>
      <c r="AP86" s="121">
        <f t="shared" ref="AP86:AP105" si="0">IF(ISBLANK(V86),1,2)</f>
        <v>1</v>
      </c>
      <c r="AU86" s="39"/>
    </row>
    <row r="87" spans="1:47" ht="15" customHeight="1" x14ac:dyDescent="0.3">
      <c r="B87" s="222">
        <f>'Form 2D - Design'!C103</f>
        <v>0</v>
      </c>
      <c r="C87" s="222"/>
      <c r="D87" s="222"/>
      <c r="E87" s="39" t="s">
        <v>45</v>
      </c>
      <c r="G87" s="233">
        <f>'Form 2D - Design'!H103</f>
        <v>0</v>
      </c>
      <c r="H87" s="233"/>
      <c r="I87" s="233"/>
      <c r="J87" s="233"/>
      <c r="K87" s="39" t="s">
        <v>41</v>
      </c>
      <c r="M87" s="230">
        <f>'Form 2D - Design'!M103</f>
        <v>0</v>
      </c>
      <c r="N87" s="230"/>
      <c r="O87" s="230"/>
      <c r="P87" s="230"/>
      <c r="Q87" s="39" t="s">
        <v>39</v>
      </c>
      <c r="T87" s="100"/>
      <c r="U87" s="2"/>
      <c r="V87" s="173"/>
      <c r="W87" s="173"/>
      <c r="X87" s="173"/>
      <c r="Y87" s="39" t="s">
        <v>45</v>
      </c>
      <c r="AA87" s="184"/>
      <c r="AB87" s="184"/>
      <c r="AC87" s="184"/>
      <c r="AD87" s="184"/>
      <c r="AE87" s="39" t="s">
        <v>41</v>
      </c>
      <c r="AG87" s="184"/>
      <c r="AH87" s="184"/>
      <c r="AI87" s="184"/>
      <c r="AJ87" s="184"/>
      <c r="AK87" s="39" t="s">
        <v>39</v>
      </c>
      <c r="AP87" s="121">
        <f t="shared" si="0"/>
        <v>1</v>
      </c>
      <c r="AU87" s="39"/>
    </row>
    <row r="88" spans="1:47" ht="15" customHeight="1" x14ac:dyDescent="0.3">
      <c r="B88" s="222">
        <f>'Form 2D - Design'!C104</f>
        <v>0</v>
      </c>
      <c r="C88" s="222"/>
      <c r="D88" s="222"/>
      <c r="E88" s="39" t="s">
        <v>45</v>
      </c>
      <c r="G88" s="233">
        <f>'Form 2D - Design'!H104</f>
        <v>0</v>
      </c>
      <c r="H88" s="233"/>
      <c r="I88" s="233"/>
      <c r="J88" s="233"/>
      <c r="K88" s="39" t="s">
        <v>41</v>
      </c>
      <c r="M88" s="230">
        <f>'Form 2D - Design'!M104</f>
        <v>0</v>
      </c>
      <c r="N88" s="230"/>
      <c r="O88" s="230"/>
      <c r="P88" s="230"/>
      <c r="Q88" s="39" t="s">
        <v>39</v>
      </c>
      <c r="T88" s="100"/>
      <c r="U88" s="2"/>
      <c r="V88" s="173"/>
      <c r="W88" s="173"/>
      <c r="X88" s="173"/>
      <c r="Y88" s="39" t="s">
        <v>45</v>
      </c>
      <c r="AA88" s="184"/>
      <c r="AB88" s="184"/>
      <c r="AC88" s="184"/>
      <c r="AD88" s="184"/>
      <c r="AE88" s="39" t="s">
        <v>41</v>
      </c>
      <c r="AG88" s="184"/>
      <c r="AH88" s="184"/>
      <c r="AI88" s="184"/>
      <c r="AJ88" s="184"/>
      <c r="AK88" s="39" t="s">
        <v>39</v>
      </c>
      <c r="AP88" s="121">
        <f t="shared" si="0"/>
        <v>1</v>
      </c>
      <c r="AU88" s="39"/>
    </row>
    <row r="89" spans="1:47" ht="15" customHeight="1" x14ac:dyDescent="0.3">
      <c r="B89" s="222">
        <f>'Form 2D - Design'!C105</f>
        <v>0</v>
      </c>
      <c r="C89" s="222"/>
      <c r="D89" s="222"/>
      <c r="E89" s="39" t="s">
        <v>45</v>
      </c>
      <c r="G89" s="233">
        <f>'Form 2D - Design'!H105</f>
        <v>0</v>
      </c>
      <c r="H89" s="233"/>
      <c r="I89" s="233"/>
      <c r="J89" s="233"/>
      <c r="K89" s="39" t="s">
        <v>41</v>
      </c>
      <c r="M89" s="230">
        <f>'Form 2D - Design'!M105</f>
        <v>0</v>
      </c>
      <c r="N89" s="230"/>
      <c r="O89" s="230"/>
      <c r="P89" s="230"/>
      <c r="Q89" s="39" t="s">
        <v>39</v>
      </c>
      <c r="T89" s="100"/>
      <c r="U89" s="2"/>
      <c r="V89" s="173"/>
      <c r="W89" s="173"/>
      <c r="X89" s="173"/>
      <c r="Y89" s="39" t="s">
        <v>45</v>
      </c>
      <c r="AA89" s="184"/>
      <c r="AB89" s="184"/>
      <c r="AC89" s="184"/>
      <c r="AD89" s="184"/>
      <c r="AE89" s="39" t="s">
        <v>41</v>
      </c>
      <c r="AG89" s="184"/>
      <c r="AH89" s="184"/>
      <c r="AI89" s="184"/>
      <c r="AJ89" s="184"/>
      <c r="AK89" s="39" t="s">
        <v>39</v>
      </c>
      <c r="AP89" s="121">
        <f t="shared" si="0"/>
        <v>1</v>
      </c>
      <c r="AU89" s="39"/>
    </row>
    <row r="90" spans="1:47" ht="15" customHeight="1" x14ac:dyDescent="0.3">
      <c r="B90" s="222">
        <f>'Form 2D - Design'!C106</f>
        <v>0</v>
      </c>
      <c r="C90" s="222"/>
      <c r="D90" s="222"/>
      <c r="E90" s="39" t="s">
        <v>45</v>
      </c>
      <c r="G90" s="233">
        <f>'Form 2D - Design'!H106</f>
        <v>0</v>
      </c>
      <c r="H90" s="233"/>
      <c r="I90" s="233"/>
      <c r="J90" s="233"/>
      <c r="K90" s="39" t="s">
        <v>41</v>
      </c>
      <c r="M90" s="230">
        <f>'Form 2D - Design'!M106</f>
        <v>0</v>
      </c>
      <c r="N90" s="230"/>
      <c r="O90" s="230"/>
      <c r="P90" s="230"/>
      <c r="Q90" s="39" t="s">
        <v>39</v>
      </c>
      <c r="T90" s="100"/>
      <c r="U90" s="2"/>
      <c r="V90" s="173"/>
      <c r="W90" s="173"/>
      <c r="X90" s="173"/>
      <c r="Y90" s="39" t="s">
        <v>45</v>
      </c>
      <c r="AA90" s="184"/>
      <c r="AB90" s="184"/>
      <c r="AC90" s="184"/>
      <c r="AD90" s="184"/>
      <c r="AE90" s="39" t="s">
        <v>41</v>
      </c>
      <c r="AG90" s="184"/>
      <c r="AH90" s="184"/>
      <c r="AI90" s="184"/>
      <c r="AJ90" s="184"/>
      <c r="AK90" s="39" t="s">
        <v>39</v>
      </c>
      <c r="AP90" s="121">
        <f t="shared" si="0"/>
        <v>1</v>
      </c>
      <c r="AU90" s="39"/>
    </row>
    <row r="91" spans="1:47" ht="15" customHeight="1" x14ac:dyDescent="0.3">
      <c r="B91" s="222">
        <f>'Form 2D - Design'!C107</f>
        <v>0</v>
      </c>
      <c r="C91" s="222"/>
      <c r="D91" s="222"/>
      <c r="E91" s="39" t="s">
        <v>45</v>
      </c>
      <c r="G91" s="233">
        <f>'Form 2D - Design'!H107</f>
        <v>0</v>
      </c>
      <c r="H91" s="233"/>
      <c r="I91" s="233"/>
      <c r="J91" s="233"/>
      <c r="K91" s="39" t="s">
        <v>41</v>
      </c>
      <c r="M91" s="230">
        <f>'Form 2D - Design'!M107</f>
        <v>0</v>
      </c>
      <c r="N91" s="230"/>
      <c r="O91" s="230"/>
      <c r="P91" s="230"/>
      <c r="Q91" s="39" t="s">
        <v>39</v>
      </c>
      <c r="T91" s="100"/>
      <c r="U91" s="2"/>
      <c r="V91" s="173"/>
      <c r="W91" s="173"/>
      <c r="X91" s="173"/>
      <c r="Y91" s="39" t="s">
        <v>45</v>
      </c>
      <c r="AA91" s="184"/>
      <c r="AB91" s="184"/>
      <c r="AC91" s="184"/>
      <c r="AD91" s="184"/>
      <c r="AE91" s="39" t="s">
        <v>41</v>
      </c>
      <c r="AG91" s="184"/>
      <c r="AH91" s="184"/>
      <c r="AI91" s="184"/>
      <c r="AJ91" s="184"/>
      <c r="AK91" s="39" t="s">
        <v>39</v>
      </c>
      <c r="AP91" s="121">
        <f t="shared" si="0"/>
        <v>1</v>
      </c>
      <c r="AU91" s="39"/>
    </row>
    <row r="92" spans="1:47" ht="15" customHeight="1" x14ac:dyDescent="0.3">
      <c r="B92" s="222">
        <f>'Form 2D - Design'!C108</f>
        <v>0</v>
      </c>
      <c r="C92" s="222"/>
      <c r="D92" s="222"/>
      <c r="E92" s="39" t="s">
        <v>45</v>
      </c>
      <c r="G92" s="233">
        <f>'Form 2D - Design'!H108</f>
        <v>0</v>
      </c>
      <c r="H92" s="233"/>
      <c r="I92" s="233"/>
      <c r="J92" s="233"/>
      <c r="K92" s="39" t="s">
        <v>41</v>
      </c>
      <c r="M92" s="230">
        <f>'Form 2D - Design'!M108</f>
        <v>0</v>
      </c>
      <c r="N92" s="230"/>
      <c r="O92" s="230"/>
      <c r="P92" s="230"/>
      <c r="Q92" s="39" t="s">
        <v>39</v>
      </c>
      <c r="T92" s="100"/>
      <c r="U92" s="2"/>
      <c r="V92" s="173"/>
      <c r="W92" s="173"/>
      <c r="X92" s="173"/>
      <c r="Y92" s="39" t="s">
        <v>45</v>
      </c>
      <c r="AA92" s="184"/>
      <c r="AB92" s="184"/>
      <c r="AC92" s="184"/>
      <c r="AD92" s="184"/>
      <c r="AE92" s="39" t="s">
        <v>41</v>
      </c>
      <c r="AG92" s="184"/>
      <c r="AH92" s="184"/>
      <c r="AI92" s="184"/>
      <c r="AJ92" s="184"/>
      <c r="AK92" s="39" t="s">
        <v>39</v>
      </c>
      <c r="AP92" s="121">
        <f t="shared" si="0"/>
        <v>1</v>
      </c>
      <c r="AU92" s="39"/>
    </row>
    <row r="93" spans="1:47" ht="15" customHeight="1" x14ac:dyDescent="0.3">
      <c r="B93" s="222">
        <f>'Form 2D - Design'!C109</f>
        <v>0</v>
      </c>
      <c r="C93" s="222"/>
      <c r="D93" s="222"/>
      <c r="E93" s="39" t="s">
        <v>45</v>
      </c>
      <c r="G93" s="233">
        <f>'Form 2D - Design'!H109</f>
        <v>0</v>
      </c>
      <c r="H93" s="233"/>
      <c r="I93" s="233"/>
      <c r="J93" s="233"/>
      <c r="K93" s="39" t="s">
        <v>41</v>
      </c>
      <c r="M93" s="230">
        <f>'Form 2D - Design'!M109</f>
        <v>0</v>
      </c>
      <c r="N93" s="230"/>
      <c r="O93" s="230"/>
      <c r="P93" s="230"/>
      <c r="Q93" s="39" t="s">
        <v>39</v>
      </c>
      <c r="T93" s="100"/>
      <c r="U93" s="2"/>
      <c r="V93" s="173"/>
      <c r="W93" s="173"/>
      <c r="X93" s="173"/>
      <c r="Y93" s="39" t="s">
        <v>45</v>
      </c>
      <c r="AA93" s="184"/>
      <c r="AB93" s="184"/>
      <c r="AC93" s="184"/>
      <c r="AD93" s="184"/>
      <c r="AE93" s="39" t="s">
        <v>41</v>
      </c>
      <c r="AG93" s="184"/>
      <c r="AH93" s="184"/>
      <c r="AI93" s="184"/>
      <c r="AJ93" s="184"/>
      <c r="AK93" s="39" t="s">
        <v>39</v>
      </c>
      <c r="AP93" s="121">
        <f t="shared" si="0"/>
        <v>1</v>
      </c>
      <c r="AU93" s="39"/>
    </row>
    <row r="94" spans="1:47" ht="15" customHeight="1" x14ac:dyDescent="0.3">
      <c r="B94" s="222">
        <f>'Form 2D - Design'!C110</f>
        <v>0</v>
      </c>
      <c r="C94" s="222"/>
      <c r="D94" s="222"/>
      <c r="E94" s="39" t="s">
        <v>45</v>
      </c>
      <c r="G94" s="233">
        <f>'Form 2D - Design'!H110</f>
        <v>0</v>
      </c>
      <c r="H94" s="233"/>
      <c r="I94" s="233"/>
      <c r="J94" s="233"/>
      <c r="K94" s="39" t="s">
        <v>41</v>
      </c>
      <c r="M94" s="230">
        <f>'Form 2D - Design'!M110</f>
        <v>0</v>
      </c>
      <c r="N94" s="230"/>
      <c r="O94" s="230"/>
      <c r="P94" s="230"/>
      <c r="Q94" s="39" t="s">
        <v>39</v>
      </c>
      <c r="T94" s="100"/>
      <c r="U94" s="2"/>
      <c r="V94" s="173"/>
      <c r="W94" s="173"/>
      <c r="X94" s="173"/>
      <c r="Y94" s="39" t="s">
        <v>45</v>
      </c>
      <c r="AA94" s="184"/>
      <c r="AB94" s="184"/>
      <c r="AC94" s="184"/>
      <c r="AD94" s="184"/>
      <c r="AE94" s="39" t="s">
        <v>41</v>
      </c>
      <c r="AG94" s="184"/>
      <c r="AH94" s="184"/>
      <c r="AI94" s="184"/>
      <c r="AJ94" s="184"/>
      <c r="AK94" s="39" t="s">
        <v>39</v>
      </c>
      <c r="AP94" s="121">
        <f t="shared" si="0"/>
        <v>1</v>
      </c>
      <c r="AU94" s="39"/>
    </row>
    <row r="95" spans="1:47" ht="15" customHeight="1" x14ac:dyDescent="0.3">
      <c r="B95" s="222">
        <f>'Form 2D - Design'!C111</f>
        <v>0</v>
      </c>
      <c r="C95" s="222"/>
      <c r="D95" s="222"/>
      <c r="E95" s="39" t="s">
        <v>45</v>
      </c>
      <c r="G95" s="233">
        <f>'Form 2D - Design'!H111</f>
        <v>0</v>
      </c>
      <c r="H95" s="233"/>
      <c r="I95" s="233"/>
      <c r="J95" s="233"/>
      <c r="K95" s="39" t="s">
        <v>41</v>
      </c>
      <c r="M95" s="230">
        <f>'Form 2D - Design'!M111</f>
        <v>0</v>
      </c>
      <c r="N95" s="230"/>
      <c r="O95" s="230"/>
      <c r="P95" s="230"/>
      <c r="Q95" s="39" t="s">
        <v>39</v>
      </c>
      <c r="T95" s="100"/>
      <c r="U95" s="2"/>
      <c r="V95" s="173"/>
      <c r="W95" s="173"/>
      <c r="X95" s="173"/>
      <c r="Y95" s="39" t="s">
        <v>45</v>
      </c>
      <c r="AA95" s="184"/>
      <c r="AB95" s="184"/>
      <c r="AC95" s="184"/>
      <c r="AD95" s="184"/>
      <c r="AE95" s="39" t="s">
        <v>41</v>
      </c>
      <c r="AG95" s="184"/>
      <c r="AH95" s="184"/>
      <c r="AI95" s="184"/>
      <c r="AJ95" s="184"/>
      <c r="AK95" s="39" t="s">
        <v>39</v>
      </c>
      <c r="AP95" s="121">
        <f t="shared" si="0"/>
        <v>1</v>
      </c>
      <c r="AU95" s="39"/>
    </row>
    <row r="96" spans="1:47" ht="15" customHeight="1" x14ac:dyDescent="0.3">
      <c r="B96" s="222">
        <f>'Form 2D - Design'!S102</f>
        <v>0</v>
      </c>
      <c r="C96" s="222"/>
      <c r="D96" s="222"/>
      <c r="E96" s="39" t="s">
        <v>45</v>
      </c>
      <c r="G96" s="233">
        <f>'Form 2D - Design'!X102</f>
        <v>0</v>
      </c>
      <c r="H96" s="233"/>
      <c r="I96" s="233"/>
      <c r="J96" s="233"/>
      <c r="K96" s="39" t="s">
        <v>41</v>
      </c>
      <c r="M96" s="230">
        <f>'Form 2D - Design'!AC102</f>
        <v>0</v>
      </c>
      <c r="N96" s="230"/>
      <c r="O96" s="230"/>
      <c r="P96" s="230"/>
      <c r="Q96" s="39" t="s">
        <v>39</v>
      </c>
      <c r="T96" s="100"/>
      <c r="U96" s="2"/>
      <c r="V96" s="173"/>
      <c r="W96" s="173"/>
      <c r="X96" s="173"/>
      <c r="Y96" s="39" t="s">
        <v>45</v>
      </c>
      <c r="AA96" s="184"/>
      <c r="AB96" s="184"/>
      <c r="AC96" s="184"/>
      <c r="AD96" s="184"/>
      <c r="AE96" s="39" t="s">
        <v>41</v>
      </c>
      <c r="AG96" s="184"/>
      <c r="AH96" s="184"/>
      <c r="AI96" s="184"/>
      <c r="AJ96" s="184"/>
      <c r="AK96" s="39" t="s">
        <v>39</v>
      </c>
      <c r="AP96" s="121">
        <f t="shared" si="0"/>
        <v>1</v>
      </c>
      <c r="AU96" s="39"/>
    </row>
    <row r="97" spans="2:47" ht="15" customHeight="1" x14ac:dyDescent="0.3">
      <c r="B97" s="222">
        <f>'Form 2D - Design'!S103</f>
        <v>0</v>
      </c>
      <c r="C97" s="222"/>
      <c r="D97" s="222"/>
      <c r="E97" s="39" t="s">
        <v>45</v>
      </c>
      <c r="G97" s="233">
        <f>'Form 2D - Design'!X103</f>
        <v>0</v>
      </c>
      <c r="H97" s="233"/>
      <c r="I97" s="233"/>
      <c r="J97" s="233"/>
      <c r="K97" s="39" t="s">
        <v>41</v>
      </c>
      <c r="M97" s="230">
        <f>'Form 2D - Design'!AC103</f>
        <v>0</v>
      </c>
      <c r="N97" s="230"/>
      <c r="O97" s="230"/>
      <c r="P97" s="230"/>
      <c r="Q97" s="39" t="s">
        <v>39</v>
      </c>
      <c r="T97" s="100"/>
      <c r="U97" s="2"/>
      <c r="V97" s="173"/>
      <c r="W97" s="173"/>
      <c r="X97" s="173"/>
      <c r="Y97" s="39" t="s">
        <v>45</v>
      </c>
      <c r="AA97" s="184"/>
      <c r="AB97" s="184"/>
      <c r="AC97" s="184"/>
      <c r="AD97" s="184"/>
      <c r="AE97" s="39" t="s">
        <v>41</v>
      </c>
      <c r="AG97" s="184"/>
      <c r="AH97" s="184"/>
      <c r="AI97" s="184"/>
      <c r="AJ97" s="184"/>
      <c r="AK97" s="39" t="s">
        <v>39</v>
      </c>
      <c r="AP97" s="121">
        <f t="shared" si="0"/>
        <v>1</v>
      </c>
      <c r="AU97" s="39"/>
    </row>
    <row r="98" spans="2:47" ht="15" customHeight="1" x14ac:dyDescent="0.3">
      <c r="B98" s="222">
        <f>'Form 2D - Design'!S104</f>
        <v>0</v>
      </c>
      <c r="C98" s="222"/>
      <c r="D98" s="222"/>
      <c r="E98" s="39" t="s">
        <v>45</v>
      </c>
      <c r="G98" s="233">
        <f>'Form 2D - Design'!X104</f>
        <v>0</v>
      </c>
      <c r="H98" s="233"/>
      <c r="I98" s="233"/>
      <c r="J98" s="233"/>
      <c r="K98" s="39" t="s">
        <v>41</v>
      </c>
      <c r="M98" s="230">
        <f>'Form 2D - Design'!AC104</f>
        <v>0</v>
      </c>
      <c r="N98" s="230"/>
      <c r="O98" s="230"/>
      <c r="P98" s="230"/>
      <c r="Q98" s="39" t="s">
        <v>39</v>
      </c>
      <c r="T98" s="100"/>
      <c r="U98" s="2"/>
      <c r="V98" s="173"/>
      <c r="W98" s="173"/>
      <c r="X98" s="173"/>
      <c r="Y98" s="39" t="s">
        <v>45</v>
      </c>
      <c r="AA98" s="184"/>
      <c r="AB98" s="184"/>
      <c r="AC98" s="184"/>
      <c r="AD98" s="184"/>
      <c r="AE98" s="39" t="s">
        <v>41</v>
      </c>
      <c r="AG98" s="184"/>
      <c r="AH98" s="184"/>
      <c r="AI98" s="184"/>
      <c r="AJ98" s="184"/>
      <c r="AK98" s="39" t="s">
        <v>39</v>
      </c>
      <c r="AP98" s="121">
        <f t="shared" si="0"/>
        <v>1</v>
      </c>
      <c r="AU98" s="39"/>
    </row>
    <row r="99" spans="2:47" ht="15" customHeight="1" x14ac:dyDescent="0.3">
      <c r="B99" s="222">
        <f>'Form 2D - Design'!S105</f>
        <v>0</v>
      </c>
      <c r="C99" s="222"/>
      <c r="D99" s="222"/>
      <c r="E99" s="39" t="s">
        <v>45</v>
      </c>
      <c r="G99" s="233">
        <f>'Form 2D - Design'!X105</f>
        <v>0</v>
      </c>
      <c r="H99" s="233"/>
      <c r="I99" s="233"/>
      <c r="J99" s="233"/>
      <c r="K99" s="39" t="s">
        <v>41</v>
      </c>
      <c r="M99" s="230">
        <f>'Form 2D - Design'!AC105</f>
        <v>0</v>
      </c>
      <c r="N99" s="230"/>
      <c r="O99" s="230"/>
      <c r="P99" s="230"/>
      <c r="Q99" s="39" t="s">
        <v>39</v>
      </c>
      <c r="T99" s="100"/>
      <c r="U99" s="2"/>
      <c r="V99" s="173"/>
      <c r="W99" s="173"/>
      <c r="X99" s="173"/>
      <c r="Y99" s="39" t="s">
        <v>45</v>
      </c>
      <c r="AA99" s="184"/>
      <c r="AB99" s="184"/>
      <c r="AC99" s="184"/>
      <c r="AD99" s="184"/>
      <c r="AE99" s="39" t="s">
        <v>41</v>
      </c>
      <c r="AG99" s="184"/>
      <c r="AH99" s="184"/>
      <c r="AI99" s="184"/>
      <c r="AJ99" s="184"/>
      <c r="AK99" s="39" t="s">
        <v>39</v>
      </c>
      <c r="AP99" s="121">
        <f t="shared" si="0"/>
        <v>1</v>
      </c>
      <c r="AU99" s="39"/>
    </row>
    <row r="100" spans="2:47" ht="15" customHeight="1" x14ac:dyDescent="0.3">
      <c r="B100" s="222">
        <f>'Form 2D - Design'!S106</f>
        <v>0</v>
      </c>
      <c r="C100" s="222"/>
      <c r="D100" s="222"/>
      <c r="E100" s="39" t="s">
        <v>45</v>
      </c>
      <c r="G100" s="233">
        <f>'Form 2D - Design'!X106</f>
        <v>0</v>
      </c>
      <c r="H100" s="233"/>
      <c r="I100" s="233"/>
      <c r="J100" s="233"/>
      <c r="K100" s="39" t="s">
        <v>41</v>
      </c>
      <c r="M100" s="230">
        <f>'Form 2D - Design'!AC106</f>
        <v>0</v>
      </c>
      <c r="N100" s="230"/>
      <c r="O100" s="230"/>
      <c r="P100" s="230"/>
      <c r="Q100" s="39" t="s">
        <v>39</v>
      </c>
      <c r="T100" s="100"/>
      <c r="U100" s="2"/>
      <c r="V100" s="173"/>
      <c r="W100" s="173"/>
      <c r="X100" s="173"/>
      <c r="Y100" s="39" t="s">
        <v>45</v>
      </c>
      <c r="AA100" s="184"/>
      <c r="AB100" s="184"/>
      <c r="AC100" s="184"/>
      <c r="AD100" s="184"/>
      <c r="AE100" s="39" t="s">
        <v>41</v>
      </c>
      <c r="AG100" s="184"/>
      <c r="AH100" s="184"/>
      <c r="AI100" s="184"/>
      <c r="AJ100" s="184"/>
      <c r="AK100" s="39" t="s">
        <v>39</v>
      </c>
      <c r="AP100" s="121">
        <f t="shared" si="0"/>
        <v>1</v>
      </c>
      <c r="AU100" s="39"/>
    </row>
    <row r="101" spans="2:47" ht="15" customHeight="1" x14ac:dyDescent="0.3">
      <c r="B101" s="222">
        <f>'Form 2D - Design'!S107</f>
        <v>0</v>
      </c>
      <c r="C101" s="222"/>
      <c r="D101" s="222"/>
      <c r="E101" s="39" t="s">
        <v>45</v>
      </c>
      <c r="G101" s="233">
        <f>'Form 2D - Design'!X107</f>
        <v>0</v>
      </c>
      <c r="H101" s="233"/>
      <c r="I101" s="233"/>
      <c r="J101" s="233"/>
      <c r="K101" s="39" t="s">
        <v>41</v>
      </c>
      <c r="M101" s="230">
        <f>'Form 2D - Design'!AC107</f>
        <v>0</v>
      </c>
      <c r="N101" s="230"/>
      <c r="O101" s="230"/>
      <c r="P101" s="230"/>
      <c r="Q101" s="39" t="s">
        <v>39</v>
      </c>
      <c r="T101" s="100"/>
      <c r="U101" s="2"/>
      <c r="V101" s="173"/>
      <c r="W101" s="173"/>
      <c r="X101" s="173"/>
      <c r="Y101" s="39" t="s">
        <v>45</v>
      </c>
      <c r="AA101" s="184"/>
      <c r="AB101" s="184"/>
      <c r="AC101" s="184"/>
      <c r="AD101" s="184"/>
      <c r="AE101" s="39" t="s">
        <v>41</v>
      </c>
      <c r="AG101" s="184"/>
      <c r="AH101" s="184"/>
      <c r="AI101" s="184"/>
      <c r="AJ101" s="184"/>
      <c r="AK101" s="39" t="s">
        <v>39</v>
      </c>
      <c r="AP101" s="121">
        <f t="shared" si="0"/>
        <v>1</v>
      </c>
      <c r="AU101" s="39"/>
    </row>
    <row r="102" spans="2:47" ht="15" customHeight="1" x14ac:dyDescent="0.3">
      <c r="B102" s="222">
        <f>'Form 2D - Design'!S108</f>
        <v>0</v>
      </c>
      <c r="C102" s="222"/>
      <c r="D102" s="222"/>
      <c r="E102" s="39" t="s">
        <v>45</v>
      </c>
      <c r="G102" s="233">
        <f>'Form 2D - Design'!X108</f>
        <v>0</v>
      </c>
      <c r="H102" s="233"/>
      <c r="I102" s="233"/>
      <c r="J102" s="233"/>
      <c r="K102" s="39" t="s">
        <v>41</v>
      </c>
      <c r="M102" s="230">
        <f>'Form 2D - Design'!AC108</f>
        <v>0</v>
      </c>
      <c r="N102" s="230"/>
      <c r="O102" s="230"/>
      <c r="P102" s="230"/>
      <c r="Q102" s="39" t="s">
        <v>39</v>
      </c>
      <c r="T102" s="100"/>
      <c r="U102" s="2"/>
      <c r="V102" s="173"/>
      <c r="W102" s="173"/>
      <c r="X102" s="173"/>
      <c r="Y102" s="39" t="s">
        <v>45</v>
      </c>
      <c r="AA102" s="184"/>
      <c r="AB102" s="184"/>
      <c r="AC102" s="184"/>
      <c r="AD102" s="184"/>
      <c r="AE102" s="39" t="s">
        <v>41</v>
      </c>
      <c r="AG102" s="184"/>
      <c r="AH102" s="184"/>
      <c r="AI102" s="184"/>
      <c r="AJ102" s="184"/>
      <c r="AK102" s="39" t="s">
        <v>39</v>
      </c>
      <c r="AP102" s="121">
        <f t="shared" si="0"/>
        <v>1</v>
      </c>
      <c r="AU102" s="39"/>
    </row>
    <row r="103" spans="2:47" ht="15" customHeight="1" x14ac:dyDescent="0.3">
      <c r="B103" s="222">
        <f>'Form 2D - Design'!S109</f>
        <v>0</v>
      </c>
      <c r="C103" s="222"/>
      <c r="D103" s="222"/>
      <c r="E103" s="39" t="s">
        <v>45</v>
      </c>
      <c r="G103" s="233">
        <f>'Form 2D - Design'!X109</f>
        <v>0</v>
      </c>
      <c r="H103" s="233"/>
      <c r="I103" s="233"/>
      <c r="J103" s="233"/>
      <c r="K103" s="39" t="s">
        <v>41</v>
      </c>
      <c r="M103" s="230">
        <f>'Form 2D - Design'!AC109</f>
        <v>0</v>
      </c>
      <c r="N103" s="230"/>
      <c r="O103" s="230"/>
      <c r="P103" s="230"/>
      <c r="Q103" s="39" t="s">
        <v>39</v>
      </c>
      <c r="T103" s="100"/>
      <c r="U103" s="2"/>
      <c r="V103" s="173"/>
      <c r="W103" s="173"/>
      <c r="X103" s="173"/>
      <c r="Y103" s="39" t="s">
        <v>45</v>
      </c>
      <c r="AA103" s="184"/>
      <c r="AB103" s="184"/>
      <c r="AC103" s="184"/>
      <c r="AD103" s="184"/>
      <c r="AE103" s="39" t="s">
        <v>41</v>
      </c>
      <c r="AG103" s="184"/>
      <c r="AH103" s="184"/>
      <c r="AI103" s="184"/>
      <c r="AJ103" s="184"/>
      <c r="AK103" s="39" t="s">
        <v>39</v>
      </c>
      <c r="AP103" s="121">
        <f t="shared" si="0"/>
        <v>1</v>
      </c>
      <c r="AU103" s="39"/>
    </row>
    <row r="104" spans="2:47" ht="15" customHeight="1" x14ac:dyDescent="0.3">
      <c r="B104" s="222">
        <f>'Form 2D - Design'!S110</f>
        <v>0</v>
      </c>
      <c r="C104" s="222"/>
      <c r="D104" s="222"/>
      <c r="E104" s="39" t="s">
        <v>45</v>
      </c>
      <c r="G104" s="233">
        <f>'Form 2D - Design'!X110</f>
        <v>0</v>
      </c>
      <c r="H104" s="233"/>
      <c r="I104" s="233"/>
      <c r="J104" s="233"/>
      <c r="K104" s="39" t="s">
        <v>41</v>
      </c>
      <c r="M104" s="230">
        <f>'Form 2D - Design'!AC110</f>
        <v>0</v>
      </c>
      <c r="N104" s="230"/>
      <c r="O104" s="230"/>
      <c r="P104" s="230"/>
      <c r="Q104" s="39" t="s">
        <v>39</v>
      </c>
      <c r="T104" s="100"/>
      <c r="U104" s="2"/>
      <c r="V104" s="173"/>
      <c r="W104" s="173"/>
      <c r="X104" s="173"/>
      <c r="Y104" s="39" t="s">
        <v>45</v>
      </c>
      <c r="AA104" s="184"/>
      <c r="AB104" s="184"/>
      <c r="AC104" s="184"/>
      <c r="AD104" s="184"/>
      <c r="AE104" s="39" t="s">
        <v>41</v>
      </c>
      <c r="AG104" s="184"/>
      <c r="AH104" s="184"/>
      <c r="AI104" s="184"/>
      <c r="AJ104" s="184"/>
      <c r="AK104" s="39" t="s">
        <v>39</v>
      </c>
      <c r="AP104" s="121">
        <f t="shared" si="0"/>
        <v>1</v>
      </c>
      <c r="AU104" s="39"/>
    </row>
    <row r="105" spans="2:47" ht="15" customHeight="1" x14ac:dyDescent="0.3">
      <c r="B105" s="222">
        <f>'Form 2D - Design'!S111</f>
        <v>0</v>
      </c>
      <c r="C105" s="222"/>
      <c r="D105" s="222"/>
      <c r="E105" s="39" t="s">
        <v>45</v>
      </c>
      <c r="G105" s="233">
        <f>'Form 2D - Design'!X111</f>
        <v>0</v>
      </c>
      <c r="H105" s="233"/>
      <c r="I105" s="233"/>
      <c r="J105" s="233"/>
      <c r="K105" s="39" t="s">
        <v>41</v>
      </c>
      <c r="M105" s="230">
        <f>'Form 2D - Design'!AC111</f>
        <v>0</v>
      </c>
      <c r="N105" s="230"/>
      <c r="O105" s="230"/>
      <c r="P105" s="230"/>
      <c r="Q105" s="39" t="s">
        <v>39</v>
      </c>
      <c r="T105" s="100"/>
      <c r="U105" s="2"/>
      <c r="V105" s="173"/>
      <c r="W105" s="173"/>
      <c r="X105" s="173"/>
      <c r="Y105" s="39" t="s">
        <v>45</v>
      </c>
      <c r="AA105" s="184"/>
      <c r="AB105" s="184"/>
      <c r="AC105" s="184"/>
      <c r="AD105" s="184"/>
      <c r="AE105" s="39" t="s">
        <v>41</v>
      </c>
      <c r="AG105" s="184"/>
      <c r="AH105" s="184"/>
      <c r="AI105" s="184"/>
      <c r="AJ105" s="184"/>
      <c r="AK105" s="39" t="s">
        <v>39</v>
      </c>
      <c r="AP105" s="121">
        <f t="shared" si="0"/>
        <v>1</v>
      </c>
      <c r="AU105" s="39"/>
    </row>
    <row r="106" spans="2:47" ht="15" customHeight="1" x14ac:dyDescent="0.3">
      <c r="H106" s="41"/>
      <c r="J106" s="45"/>
      <c r="K106" s="45"/>
      <c r="L106" s="45"/>
      <c r="N106" s="48"/>
      <c r="O106" s="48"/>
      <c r="P106" s="48"/>
      <c r="Q106" s="48"/>
      <c r="W106" s="41"/>
      <c r="X106" s="41"/>
      <c r="Y106" s="41"/>
      <c r="AA106" s="45"/>
      <c r="AB106" s="45"/>
      <c r="AC106" s="45"/>
      <c r="AE106" s="48"/>
      <c r="AF106" s="48"/>
      <c r="AG106" s="48"/>
      <c r="AH106" s="48"/>
      <c r="AU106" s="39"/>
    </row>
    <row r="107" spans="2:47" ht="15" customHeight="1" x14ac:dyDescent="0.3">
      <c r="H107" s="41"/>
      <c r="J107" s="45"/>
      <c r="K107" s="45"/>
      <c r="L107" s="45"/>
      <c r="N107" s="48"/>
      <c r="O107" s="48"/>
      <c r="P107" s="48"/>
      <c r="Q107" s="48"/>
      <c r="W107" s="41"/>
      <c r="X107" s="41"/>
      <c r="Y107" s="41"/>
      <c r="AA107" s="45"/>
      <c r="AB107" s="45"/>
      <c r="AC107" s="45"/>
      <c r="AE107" s="48"/>
      <c r="AF107" s="48"/>
      <c r="AG107" s="48"/>
      <c r="AH107" s="48"/>
      <c r="AU107" s="39"/>
    </row>
    <row r="108" spans="2:47" ht="15" customHeight="1" x14ac:dyDescent="0.3">
      <c r="AK108" s="41"/>
      <c r="AU108" s="39"/>
    </row>
    <row r="109" spans="2:47" ht="15" customHeight="1" x14ac:dyDescent="0.3">
      <c r="B109" s="166">
        <f>Tables!$C$13</f>
        <v>45566</v>
      </c>
      <c r="C109" s="166"/>
      <c r="D109" s="166"/>
      <c r="E109" s="166"/>
      <c r="F109" s="166"/>
      <c r="G109" s="166"/>
      <c r="H109" s="166"/>
      <c r="R109" s="167" t="s">
        <v>465</v>
      </c>
      <c r="S109" s="167"/>
      <c r="T109" s="167"/>
      <c r="U109" s="167"/>
      <c r="AK109" s="41"/>
      <c r="AU109" s="39"/>
    </row>
    <row r="110" spans="2:47" ht="15" customHeight="1" x14ac:dyDescent="0.3">
      <c r="C110" s="2" t="s">
        <v>1</v>
      </c>
      <c r="D110" s="169">
        <f>IF(ISBLANK($E$15),"",$E$15)</f>
        <v>0</v>
      </c>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46"/>
      <c r="AB110" s="46"/>
      <c r="AC110" s="46"/>
      <c r="AF110" s="2" t="s">
        <v>21</v>
      </c>
      <c r="AG110" s="170">
        <f>$AF$15</f>
        <v>0</v>
      </c>
      <c r="AH110" s="170"/>
      <c r="AI110" s="170"/>
      <c r="AJ110" s="170"/>
      <c r="AK110" s="170"/>
      <c r="AU110" s="39"/>
    </row>
    <row r="111" spans="2:47" ht="15" customHeight="1" x14ac:dyDescent="0.3">
      <c r="H111" s="47"/>
      <c r="I111" s="47"/>
      <c r="J111" s="2"/>
      <c r="K111" s="2"/>
      <c r="L111" s="2"/>
      <c r="M111" s="47"/>
      <c r="N111" s="46"/>
      <c r="O111" s="46"/>
      <c r="P111" s="46"/>
      <c r="Q111" s="46"/>
      <c r="R111" s="46"/>
      <c r="S111" s="46"/>
      <c r="T111" s="46"/>
      <c r="U111" s="46"/>
      <c r="V111" s="46"/>
      <c r="W111" s="46"/>
      <c r="X111" s="46"/>
      <c r="Y111" s="46"/>
      <c r="Z111" s="46"/>
      <c r="AA111" s="46"/>
      <c r="AB111" s="46"/>
      <c r="AC111" s="46"/>
      <c r="AF111" s="2" t="s">
        <v>35</v>
      </c>
      <c r="AG111" s="220">
        <f>IF(ISBLANK($AF$16),"",$AF$16)</f>
        <v>0</v>
      </c>
      <c r="AH111" s="220"/>
      <c r="AI111" s="220"/>
      <c r="AJ111" s="220"/>
      <c r="AK111" s="220"/>
      <c r="AU111" s="39"/>
    </row>
    <row r="112" spans="2:47" ht="4.95" customHeight="1" x14ac:dyDescent="0.3">
      <c r="H112" s="41"/>
      <c r="J112" s="45"/>
      <c r="K112" s="45"/>
      <c r="L112" s="45"/>
      <c r="N112" s="48"/>
      <c r="O112" s="48"/>
      <c r="P112" s="48"/>
      <c r="Q112" s="48"/>
      <c r="W112" s="41"/>
      <c r="X112" s="41"/>
      <c r="Y112" s="41"/>
      <c r="AA112" s="45"/>
      <c r="AB112" s="45"/>
      <c r="AC112" s="45"/>
      <c r="AE112" s="48"/>
      <c r="AF112" s="48"/>
      <c r="AG112" s="48"/>
      <c r="AH112" s="48"/>
      <c r="AU112" s="39"/>
    </row>
    <row r="113" spans="1:58" ht="15" customHeight="1" x14ac:dyDescent="0.3">
      <c r="A113" s="225" t="s">
        <v>222</v>
      </c>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123"/>
      <c r="AN113" s="123"/>
      <c r="AU113" s="39"/>
    </row>
    <row r="114" spans="1:58" ht="15" customHeight="1" x14ac:dyDescent="0.3">
      <c r="A114" s="20"/>
      <c r="B114" s="20"/>
      <c r="C114" s="20"/>
      <c r="D114" s="20"/>
      <c r="E114" s="20"/>
      <c r="F114" s="20"/>
      <c r="G114" s="20"/>
      <c r="H114" s="20"/>
      <c r="I114" s="20"/>
      <c r="J114" s="20"/>
      <c r="K114" s="20"/>
      <c r="L114" s="20"/>
      <c r="M114" s="20"/>
      <c r="N114" s="167" t="s">
        <v>236</v>
      </c>
      <c r="O114" s="167"/>
      <c r="P114" s="167"/>
      <c r="Q114" s="167"/>
      <c r="R114" s="167"/>
      <c r="S114" s="167"/>
      <c r="T114" s="167"/>
      <c r="U114" s="167"/>
      <c r="V114" s="167"/>
      <c r="W114" s="20"/>
      <c r="X114" s="20"/>
      <c r="Y114" s="20"/>
      <c r="Z114" s="20"/>
      <c r="AA114" s="20"/>
      <c r="AB114" s="20"/>
      <c r="AC114" s="20"/>
      <c r="AD114" s="20"/>
      <c r="AE114" s="20"/>
      <c r="AF114" s="20"/>
      <c r="AG114" s="20"/>
      <c r="AH114" s="20"/>
      <c r="AI114" s="20"/>
      <c r="AJ114" s="20"/>
      <c r="AK114" s="20"/>
      <c r="AL114" s="20"/>
      <c r="AM114" s="123"/>
      <c r="AN114" s="123"/>
      <c r="AP114" s="127">
        <f>Tables!C26</f>
        <v>6</v>
      </c>
      <c r="AQ114" s="13" t="s">
        <v>366</v>
      </c>
      <c r="AR114" s="13"/>
      <c r="AU114" s="39"/>
    </row>
    <row r="115" spans="1:58" ht="30" customHeight="1" x14ac:dyDescent="0.3">
      <c r="B115" s="1" t="s">
        <v>59</v>
      </c>
      <c r="I115" s="237" t="s">
        <v>136</v>
      </c>
      <c r="J115" s="237"/>
      <c r="K115" s="237"/>
      <c r="L115" s="237"/>
      <c r="M115" s="1"/>
      <c r="N115" s="237" t="s">
        <v>228</v>
      </c>
      <c r="O115" s="237"/>
      <c r="P115" s="237"/>
      <c r="Q115" s="237"/>
      <c r="S115" s="237" t="s">
        <v>229</v>
      </c>
      <c r="T115" s="237"/>
      <c r="U115" s="237"/>
      <c r="V115" s="237"/>
      <c r="X115" s="237" t="s">
        <v>358</v>
      </c>
      <c r="Y115" s="237"/>
      <c r="Z115" s="237"/>
      <c r="AA115" s="237"/>
      <c r="AC115" s="237" t="s">
        <v>307</v>
      </c>
      <c r="AD115" s="237"/>
      <c r="AE115" s="237"/>
      <c r="AF115" s="237"/>
      <c r="AH115" s="237" t="s">
        <v>137</v>
      </c>
      <c r="AI115" s="237"/>
      <c r="AJ115" s="237"/>
      <c r="AK115" s="237"/>
      <c r="AM115" s="13" t="s">
        <v>442</v>
      </c>
      <c r="AN115" s="13" t="s">
        <v>413</v>
      </c>
      <c r="AO115" s="23" t="s">
        <v>488</v>
      </c>
      <c r="AY115" s="36"/>
      <c r="AZ115" s="36"/>
      <c r="BA115" s="36"/>
      <c r="BB115" s="36"/>
      <c r="BC115" s="36"/>
      <c r="BD115" s="36"/>
      <c r="BE115" s="36"/>
      <c r="BF115" s="36"/>
    </row>
    <row r="116" spans="1:58" ht="15" customHeight="1" x14ac:dyDescent="0.3">
      <c r="C116" s="182">
        <f>Tables!$C$16</f>
        <v>4.24</v>
      </c>
      <c r="D116" s="182"/>
      <c r="G116" s="2" t="str">
        <f>Tables!$A$16</f>
        <v>(2-yr)</v>
      </c>
      <c r="I116" s="189">
        <f>'Form 2D - Design'!M121</f>
        <v>0</v>
      </c>
      <c r="J116" s="189"/>
      <c r="K116" s="189"/>
      <c r="L116" s="189"/>
      <c r="N116" s="208">
        <f>'Form 2D - Design'!Q121</f>
        <v>0</v>
      </c>
      <c r="O116" s="208"/>
      <c r="P116" s="208"/>
      <c r="Q116" s="208"/>
      <c r="S116" s="208">
        <f>'Form 2D - Design'!U121</f>
        <v>0</v>
      </c>
      <c r="T116" s="208"/>
      <c r="U116" s="208"/>
      <c r="V116" s="208"/>
      <c r="X116" s="208">
        <f>'Form 2D - Design'!Y121</f>
        <v>0</v>
      </c>
      <c r="Y116" s="208"/>
      <c r="Z116" s="208"/>
      <c r="AA116" s="208"/>
      <c r="AC116" s="208">
        <f>'Form 2D - Design'!AC121</f>
        <v>0</v>
      </c>
      <c r="AD116" s="208"/>
      <c r="AE116" s="208"/>
      <c r="AF116" s="208"/>
      <c r="AH116" s="208">
        <f>'Form 2D - Design'!AG121</f>
        <v>0</v>
      </c>
      <c r="AI116" s="208"/>
      <c r="AJ116" s="208"/>
      <c r="AK116" s="208"/>
      <c r="AM116" s="121">
        <f>IF(AH116&gt;I116,1,0)</f>
        <v>0</v>
      </c>
      <c r="AN116" s="121">
        <f>IF($AP$117=1,0,IF($AH116&gt;$AR$117,1,0))</f>
        <v>0</v>
      </c>
      <c r="AO116" s="121">
        <f>IF($AP$118=1,0,IF($AH116&gt;$AR$118,1,0))</f>
        <v>0</v>
      </c>
      <c r="AQ116" s="23" t="s">
        <v>485</v>
      </c>
      <c r="AR116" s="23" t="s">
        <v>160</v>
      </c>
      <c r="AX116"/>
      <c r="AY116" s="36"/>
      <c r="AZ116" s="36"/>
      <c r="BA116" s="36"/>
      <c r="BB116" s="36"/>
      <c r="BC116" s="36"/>
      <c r="BD116" s="36"/>
      <c r="BE116" s="36"/>
      <c r="BF116" s="36"/>
    </row>
    <row r="117" spans="1:58" ht="15" customHeight="1" x14ac:dyDescent="0.3">
      <c r="C117" s="182">
        <f>Tables!$C$17</f>
        <v>5.3</v>
      </c>
      <c r="D117" s="182"/>
      <c r="G117" s="2" t="str">
        <f>Tables!$A$17</f>
        <v>(5-yr)</v>
      </c>
      <c r="I117" s="189">
        <f>'Form 2D - Design'!M122</f>
        <v>0</v>
      </c>
      <c r="J117" s="189"/>
      <c r="K117" s="189"/>
      <c r="L117" s="189"/>
      <c r="N117" s="238">
        <f>'Form 2D - Design'!Q122</f>
        <v>0</v>
      </c>
      <c r="O117" s="238"/>
      <c r="P117" s="238"/>
      <c r="Q117" s="238"/>
      <c r="S117" s="238">
        <f>'Form 2D - Design'!U122</f>
        <v>0</v>
      </c>
      <c r="T117" s="238"/>
      <c r="U117" s="238"/>
      <c r="V117" s="238"/>
      <c r="X117" s="238">
        <f>'Form 2D - Design'!Y122</f>
        <v>0</v>
      </c>
      <c r="Y117" s="238"/>
      <c r="Z117" s="238"/>
      <c r="AA117" s="238"/>
      <c r="AC117" s="238">
        <f>'Form 2D - Design'!AC122</f>
        <v>0</v>
      </c>
      <c r="AD117" s="238"/>
      <c r="AE117" s="238"/>
      <c r="AF117" s="238"/>
      <c r="AH117" s="238">
        <f>'Form 2D - Design'!AG122</f>
        <v>0</v>
      </c>
      <c r="AI117" s="238"/>
      <c r="AJ117" s="238"/>
      <c r="AK117" s="238"/>
      <c r="AM117" s="121">
        <f t="shared" ref="AM117:AM121" si="1">IF(AH117&gt;I117,1,0)</f>
        <v>0</v>
      </c>
      <c r="AN117" s="121">
        <f t="shared" ref="AN117:AN121" si="2">IF($AP$117=1,0,IF($AH117&gt;$AR$117,1,0))</f>
        <v>0</v>
      </c>
      <c r="AO117" s="121">
        <f t="shared" ref="AO117:AO121" si="3">IF($AP$118=1,0,IF($AH117&gt;$AR$118,1,0))</f>
        <v>0</v>
      </c>
      <c r="AP117" s="151">
        <f>IF(AP120="Yes",'Form 2D - Design'!AM153,1)</f>
        <v>1</v>
      </c>
      <c r="AQ117" s="121" t="str">
        <f>'Form 2D - Design'!AO153</f>
        <v>No</v>
      </c>
      <c r="AR117" s="127">
        <f>'Form 2D - Design'!AN153</f>
        <v>0</v>
      </c>
      <c r="AS117" s="63" t="s">
        <v>413</v>
      </c>
      <c r="AX117" s="36"/>
      <c r="AY117" s="36"/>
      <c r="AZ117" s="36"/>
      <c r="BA117" s="36"/>
      <c r="BB117" s="36"/>
      <c r="BC117" s="36"/>
      <c r="BD117" s="36"/>
      <c r="BE117" s="36"/>
      <c r="BF117" s="36"/>
    </row>
    <row r="118" spans="1:58" ht="15" customHeight="1" x14ac:dyDescent="0.3">
      <c r="C118" s="182">
        <f>Tables!$C$18</f>
        <v>6.24</v>
      </c>
      <c r="D118" s="182"/>
      <c r="G118" s="2" t="str">
        <f>Tables!$A$18</f>
        <v>(10-yr)</v>
      </c>
      <c r="I118" s="189">
        <f>'Form 2D - Design'!M123</f>
        <v>0</v>
      </c>
      <c r="J118" s="189"/>
      <c r="K118" s="189"/>
      <c r="L118" s="189"/>
      <c r="N118" s="238">
        <f>'Form 2D - Design'!Q123</f>
        <v>0</v>
      </c>
      <c r="O118" s="238"/>
      <c r="P118" s="238"/>
      <c r="Q118" s="238"/>
      <c r="S118" s="238">
        <f>'Form 2D - Design'!U123</f>
        <v>0</v>
      </c>
      <c r="T118" s="238"/>
      <c r="U118" s="238"/>
      <c r="V118" s="238"/>
      <c r="X118" s="238">
        <f>'Form 2D - Design'!Y123</f>
        <v>0</v>
      </c>
      <c r="Y118" s="238"/>
      <c r="Z118" s="238"/>
      <c r="AA118" s="238"/>
      <c r="AC118" s="238">
        <f>'Form 2D - Design'!AC123</f>
        <v>0</v>
      </c>
      <c r="AD118" s="238"/>
      <c r="AE118" s="238"/>
      <c r="AF118" s="238"/>
      <c r="AH118" s="238">
        <f>'Form 2D - Design'!AG123</f>
        <v>0</v>
      </c>
      <c r="AI118" s="238"/>
      <c r="AJ118" s="238"/>
      <c r="AK118" s="238"/>
      <c r="AM118" s="121">
        <f t="shared" si="1"/>
        <v>0</v>
      </c>
      <c r="AN118" s="121">
        <f t="shared" si="2"/>
        <v>0</v>
      </c>
      <c r="AO118" s="121">
        <f t="shared" si="3"/>
        <v>0</v>
      </c>
      <c r="AP118" s="151">
        <f>IF(AP120="Yes",'Form 2D - Design'!AM155,1)</f>
        <v>1</v>
      </c>
      <c r="AQ118" s="121" t="str">
        <f>'Form 2D - Design'!AO155</f>
        <v>No</v>
      </c>
      <c r="AR118" s="127">
        <f>'Form 2D - Design'!AN155</f>
        <v>0</v>
      </c>
      <c r="AS118" s="63" t="s">
        <v>445</v>
      </c>
      <c r="AU118" s="35"/>
      <c r="AX118" s="36"/>
      <c r="AY118" s="36"/>
      <c r="AZ118" s="36"/>
      <c r="BA118" s="36"/>
      <c r="BB118" s="36"/>
      <c r="BC118" s="36"/>
      <c r="BD118" s="36"/>
      <c r="BE118" s="36"/>
      <c r="BF118" s="36"/>
    </row>
    <row r="119" spans="1:58" ht="15" customHeight="1" x14ac:dyDescent="0.3">
      <c r="C119" s="182">
        <f>Tables!$C$19</f>
        <v>7.64</v>
      </c>
      <c r="D119" s="182"/>
      <c r="G119" s="2" t="str">
        <f>Tables!$A$19</f>
        <v>(25-yr)</v>
      </c>
      <c r="I119" s="189">
        <f>'Form 2D - Design'!M124</f>
        <v>0</v>
      </c>
      <c r="J119" s="189"/>
      <c r="K119" s="189"/>
      <c r="L119" s="189"/>
      <c r="N119" s="238">
        <f>'Form 2D - Design'!Q124</f>
        <v>0</v>
      </c>
      <c r="O119" s="238"/>
      <c r="P119" s="238"/>
      <c r="Q119" s="238"/>
      <c r="S119" s="238">
        <f>'Form 2D - Design'!U124</f>
        <v>0</v>
      </c>
      <c r="T119" s="238"/>
      <c r="U119" s="238"/>
      <c r="V119" s="238"/>
      <c r="X119" s="238">
        <f>'Form 2D - Design'!Y124</f>
        <v>0</v>
      </c>
      <c r="Y119" s="238"/>
      <c r="Z119" s="238"/>
      <c r="AA119" s="238"/>
      <c r="AC119" s="238">
        <f>'Form 2D - Design'!AC124</f>
        <v>0</v>
      </c>
      <c r="AD119" s="238"/>
      <c r="AE119" s="238"/>
      <c r="AF119" s="238"/>
      <c r="AH119" s="238">
        <f>'Form 2D - Design'!AG124</f>
        <v>0</v>
      </c>
      <c r="AI119" s="238"/>
      <c r="AJ119" s="238"/>
      <c r="AK119" s="238"/>
      <c r="AM119" s="121">
        <f t="shared" si="1"/>
        <v>0</v>
      </c>
      <c r="AN119" s="121">
        <f t="shared" si="2"/>
        <v>0</v>
      </c>
      <c r="AO119" s="121">
        <f t="shared" si="3"/>
        <v>0</v>
      </c>
      <c r="AP119" s="158">
        <f>'Form 2D - Design'!AN153</f>
        <v>0</v>
      </c>
      <c r="AR119" s="13"/>
      <c r="AS119" s="13"/>
      <c r="AU119" s="35"/>
      <c r="AY119" s="36"/>
      <c r="AZ119" s="36"/>
      <c r="BA119" s="36"/>
      <c r="BB119" s="36"/>
      <c r="BC119" s="36"/>
      <c r="BD119" s="36"/>
      <c r="BE119" s="36"/>
      <c r="BF119" s="36"/>
    </row>
    <row r="120" spans="1:58" ht="15" customHeight="1" x14ac:dyDescent="0.3">
      <c r="C120" s="182">
        <f>Tables!$C$20</f>
        <v>8.8000000000000007</v>
      </c>
      <c r="D120" s="182"/>
      <c r="G120" s="2" t="str">
        <f>Tables!$A$20</f>
        <v>(50-yr)</v>
      </c>
      <c r="I120" s="189">
        <f>'Form 2D - Design'!M125</f>
        <v>0</v>
      </c>
      <c r="J120" s="189"/>
      <c r="K120" s="189"/>
      <c r="L120" s="189"/>
      <c r="N120" s="238">
        <f>'Form 2D - Design'!Q125</f>
        <v>0</v>
      </c>
      <c r="O120" s="238"/>
      <c r="P120" s="238"/>
      <c r="Q120" s="238"/>
      <c r="S120" s="238">
        <f>'Form 2D - Design'!U125</f>
        <v>0</v>
      </c>
      <c r="T120" s="238"/>
      <c r="U120" s="238"/>
      <c r="V120" s="238"/>
      <c r="X120" s="238">
        <f>'Form 2D - Design'!Y125</f>
        <v>0</v>
      </c>
      <c r="Y120" s="238"/>
      <c r="Z120" s="238"/>
      <c r="AA120" s="238"/>
      <c r="AC120" s="238">
        <f>'Form 2D - Design'!AC125</f>
        <v>0</v>
      </c>
      <c r="AD120" s="238"/>
      <c r="AE120" s="238"/>
      <c r="AF120" s="238"/>
      <c r="AH120" s="238">
        <f>'Form 2D - Design'!AG125</f>
        <v>0</v>
      </c>
      <c r="AI120" s="238"/>
      <c r="AJ120" s="238"/>
      <c r="AK120" s="238"/>
      <c r="AM120" s="121">
        <f t="shared" si="1"/>
        <v>0</v>
      </c>
      <c r="AN120" s="121">
        <f t="shared" si="2"/>
        <v>0</v>
      </c>
      <c r="AO120" s="121">
        <f t="shared" si="3"/>
        <v>0</v>
      </c>
      <c r="AP120" s="151" t="str">
        <f>'Form 2D - Design'!AO153</f>
        <v>No</v>
      </c>
      <c r="AU120" s="35"/>
      <c r="AY120" s="36"/>
      <c r="AZ120" s="36"/>
      <c r="BA120" s="36"/>
      <c r="BB120" s="36"/>
      <c r="BC120" s="36"/>
      <c r="BD120" s="36"/>
      <c r="BE120" s="36"/>
      <c r="BF120" s="36"/>
    </row>
    <row r="121" spans="1:58" ht="15" customHeight="1" x14ac:dyDescent="0.3">
      <c r="C121" s="182">
        <f>Tables!$C$21</f>
        <v>10</v>
      </c>
      <c r="D121" s="182"/>
      <c r="G121" s="2" t="str">
        <f>Tables!$A$21</f>
        <v>(100-yr)</v>
      </c>
      <c r="I121" s="189">
        <f>'Form 2D - Design'!M126</f>
        <v>0</v>
      </c>
      <c r="J121" s="189"/>
      <c r="K121" s="189"/>
      <c r="L121" s="189"/>
      <c r="N121" s="238">
        <f>'Form 2D - Design'!Q126</f>
        <v>0</v>
      </c>
      <c r="O121" s="238"/>
      <c r="P121" s="238"/>
      <c r="Q121" s="238"/>
      <c r="S121" s="238">
        <f>'Form 2D - Design'!U126</f>
        <v>0</v>
      </c>
      <c r="T121" s="238"/>
      <c r="U121" s="238"/>
      <c r="V121" s="238"/>
      <c r="X121" s="238">
        <f>'Form 2D - Design'!Y126</f>
        <v>0</v>
      </c>
      <c r="Y121" s="238"/>
      <c r="Z121" s="238"/>
      <c r="AA121" s="238"/>
      <c r="AC121" s="238">
        <f>'Form 2D - Design'!AC126</f>
        <v>0</v>
      </c>
      <c r="AD121" s="238"/>
      <c r="AE121" s="238"/>
      <c r="AF121" s="238"/>
      <c r="AH121" s="238">
        <f>'Form 2D - Design'!AG126</f>
        <v>0</v>
      </c>
      <c r="AI121" s="238"/>
      <c r="AJ121" s="238"/>
      <c r="AK121" s="238"/>
      <c r="AM121" s="121">
        <f t="shared" si="1"/>
        <v>0</v>
      </c>
      <c r="AN121" s="121">
        <f t="shared" si="2"/>
        <v>0</v>
      </c>
      <c r="AO121" s="121">
        <f t="shared" si="3"/>
        <v>0</v>
      </c>
      <c r="AU121" s="35"/>
      <c r="AY121" s="36"/>
      <c r="AZ121" s="36"/>
      <c r="BA121" s="36"/>
      <c r="BB121" s="36"/>
      <c r="BC121" s="36"/>
      <c r="BD121" s="36"/>
      <c r="BE121" s="36"/>
      <c r="BF121" s="36"/>
    </row>
    <row r="122" spans="1:58" ht="30" customHeight="1" x14ac:dyDescent="0.3">
      <c r="B122" s="1" t="s">
        <v>60</v>
      </c>
      <c r="I122" s="237" t="s">
        <v>136</v>
      </c>
      <c r="J122" s="237"/>
      <c r="K122" s="237"/>
      <c r="L122" s="237"/>
      <c r="M122" s="49"/>
      <c r="N122" s="237" t="s">
        <v>228</v>
      </c>
      <c r="O122" s="237"/>
      <c r="P122" s="237"/>
      <c r="Q122" s="237"/>
      <c r="S122" s="237" t="s">
        <v>229</v>
      </c>
      <c r="T122" s="237"/>
      <c r="U122" s="237"/>
      <c r="V122" s="237"/>
      <c r="X122" s="237" t="s">
        <v>358</v>
      </c>
      <c r="Y122" s="237"/>
      <c r="Z122" s="237"/>
      <c r="AA122" s="237"/>
      <c r="AC122" s="237" t="s">
        <v>307</v>
      </c>
      <c r="AD122" s="237"/>
      <c r="AE122" s="237"/>
      <c r="AF122" s="237"/>
      <c r="AH122" s="237" t="s">
        <v>137</v>
      </c>
      <c r="AI122" s="237"/>
      <c r="AJ122" s="237"/>
      <c r="AK122" s="237"/>
      <c r="AM122" s="121">
        <f>SUM(AM123:AM128)</f>
        <v>6</v>
      </c>
      <c r="AN122" s="121">
        <f>SUM(AN123:AN128)</f>
        <v>6</v>
      </c>
      <c r="AO122" s="121">
        <f>SUM(AO123:AO127)</f>
        <v>5</v>
      </c>
      <c r="AP122" s="121">
        <f>SUM(AP123:AP128)</f>
        <v>6</v>
      </c>
      <c r="AQ122" s="121">
        <f t="shared" ref="AQ122:AR122" si="4">SUM(AQ123:AQ128)</f>
        <v>0</v>
      </c>
      <c r="AR122" s="121">
        <f t="shared" si="4"/>
        <v>0</v>
      </c>
      <c r="AS122" s="121">
        <f>SUM(AS123:AS128)</f>
        <v>6</v>
      </c>
      <c r="AU122" s="35"/>
      <c r="AY122" s="36"/>
      <c r="AZ122" s="36"/>
      <c r="BA122" s="36"/>
      <c r="BB122" s="36"/>
      <c r="BC122" s="36"/>
      <c r="BD122" s="36"/>
      <c r="BE122" s="36"/>
      <c r="BF122" s="36"/>
    </row>
    <row r="123" spans="1:58" ht="15" customHeight="1" x14ac:dyDescent="0.3">
      <c r="C123" s="182">
        <f>Tables!$C$16</f>
        <v>4.24</v>
      </c>
      <c r="D123" s="182"/>
      <c r="G123" s="2" t="str">
        <f>Tables!$A$16</f>
        <v>(2-yr)</v>
      </c>
      <c r="I123" s="180"/>
      <c r="J123" s="180"/>
      <c r="K123" s="180"/>
      <c r="L123" s="180"/>
      <c r="N123" s="180"/>
      <c r="O123" s="180"/>
      <c r="P123" s="180"/>
      <c r="Q123" s="180"/>
      <c r="S123" s="180"/>
      <c r="T123" s="180"/>
      <c r="U123" s="180"/>
      <c r="V123" s="180"/>
      <c r="X123" s="180"/>
      <c r="Y123" s="180"/>
      <c r="Z123" s="180"/>
      <c r="AA123" s="180"/>
      <c r="AC123" s="180"/>
      <c r="AD123" s="180"/>
      <c r="AE123" s="180"/>
      <c r="AF123" s="180"/>
      <c r="AH123" s="180"/>
      <c r="AI123" s="180"/>
      <c r="AJ123" s="180"/>
      <c r="AK123" s="180"/>
      <c r="AM123" s="121">
        <f>IF(ISBLANK(I123),1,IF(I123=I116,0,1))</f>
        <v>1</v>
      </c>
      <c r="AN123" s="121">
        <f t="shared" ref="AN123:AN127" si="5">IF(ISBLANK(N123),1,IF(N123=N116,0,1))</f>
        <v>1</v>
      </c>
      <c r="AO123" s="121">
        <f>IF(OR(ISBLANK(X123),ISBLANK(Y$74)),1,IF(X123&gt;Y$74,1,0))</f>
        <v>1</v>
      </c>
      <c r="AP123" s="121">
        <f t="shared" ref="AP123:AP128" si="6">IF(ISBLANK(AC123),1,IF(AC123&gt;$AP$114,1,0))</f>
        <v>1</v>
      </c>
      <c r="AQ123" s="121">
        <f t="shared" ref="AQ123:AQ127" si="7">IF($AR$117=0,0,IF($AH123&gt;=$AR$117,1,0))</f>
        <v>0</v>
      </c>
      <c r="AR123" s="121">
        <f t="shared" ref="AR123:AR127" si="8">IF($AR$118=0,0,IF($AH123&gt;=$AR$118,1,0))</f>
        <v>0</v>
      </c>
      <c r="AS123" s="121">
        <f>IF(OR(ISBLANK(AH123),ISBLANK(I123)),1,IF(AH123&gt;I123,1,0))</f>
        <v>1</v>
      </c>
      <c r="AU123" s="35"/>
      <c r="AY123" s="36"/>
      <c r="AZ123" s="36"/>
      <c r="BA123" s="36"/>
      <c r="BB123" s="36"/>
      <c r="BC123" s="36"/>
      <c r="BD123" s="36"/>
      <c r="BE123" s="36"/>
      <c r="BF123" s="36"/>
    </row>
    <row r="124" spans="1:58" ht="15" customHeight="1" x14ac:dyDescent="0.3">
      <c r="C124" s="182">
        <f>Tables!$C$17</f>
        <v>5.3</v>
      </c>
      <c r="D124" s="182"/>
      <c r="G124" s="2" t="str">
        <f>Tables!$A$17</f>
        <v>(5-yr)</v>
      </c>
      <c r="I124" s="179"/>
      <c r="J124" s="179"/>
      <c r="K124" s="179"/>
      <c r="L124" s="179"/>
      <c r="N124" s="179"/>
      <c r="O124" s="179"/>
      <c r="P124" s="179"/>
      <c r="Q124" s="179"/>
      <c r="S124" s="179"/>
      <c r="T124" s="179"/>
      <c r="U124" s="179"/>
      <c r="V124" s="179"/>
      <c r="X124" s="179"/>
      <c r="Y124" s="179"/>
      <c r="Z124" s="179"/>
      <c r="AA124" s="179"/>
      <c r="AC124" s="179"/>
      <c r="AD124" s="179"/>
      <c r="AE124" s="179"/>
      <c r="AF124" s="179"/>
      <c r="AH124" s="179"/>
      <c r="AI124" s="179"/>
      <c r="AJ124" s="179"/>
      <c r="AK124" s="179"/>
      <c r="AM124" s="121">
        <f t="shared" ref="AM124:AM128" si="9">IF(ISBLANK(I124),1,IF(I124=I117,0,1))</f>
        <v>1</v>
      </c>
      <c r="AN124" s="121">
        <f t="shared" si="5"/>
        <v>1</v>
      </c>
      <c r="AO124" s="121">
        <f t="shared" ref="AO124:AO127" si="10">IF(OR(ISBLANK(X124),ISBLANK(Y$74)),1,IF(X124&gt;Y$74,1,0))</f>
        <v>1</v>
      </c>
      <c r="AP124" s="121">
        <f t="shared" si="6"/>
        <v>1</v>
      </c>
      <c r="AQ124" s="121">
        <f t="shared" si="7"/>
        <v>0</v>
      </c>
      <c r="AR124" s="121">
        <f t="shared" si="8"/>
        <v>0</v>
      </c>
      <c r="AS124" s="121">
        <f>IF(OR(ISBLANK(AH124),ISBLANK(I124)),1,IF(AH124&gt;I124,1,0))</f>
        <v>1</v>
      </c>
      <c r="AY124" s="36"/>
      <c r="AZ124" s="36"/>
      <c r="BA124" s="36"/>
      <c r="BB124" s="36"/>
      <c r="BC124" s="36"/>
      <c r="BD124" s="36"/>
      <c r="BE124" s="36"/>
      <c r="BF124" s="36"/>
    </row>
    <row r="125" spans="1:58" ht="15" customHeight="1" x14ac:dyDescent="0.3">
      <c r="C125" s="182">
        <f>Tables!$C$18</f>
        <v>6.24</v>
      </c>
      <c r="D125" s="182"/>
      <c r="G125" s="2" t="str">
        <f>Tables!$A$18</f>
        <v>(10-yr)</v>
      </c>
      <c r="I125" s="179"/>
      <c r="J125" s="179"/>
      <c r="K125" s="179"/>
      <c r="L125" s="179"/>
      <c r="N125" s="179"/>
      <c r="O125" s="179"/>
      <c r="P125" s="179"/>
      <c r="Q125" s="179"/>
      <c r="S125" s="179"/>
      <c r="T125" s="179"/>
      <c r="U125" s="179"/>
      <c r="V125" s="179"/>
      <c r="X125" s="179"/>
      <c r="Y125" s="179"/>
      <c r="Z125" s="179"/>
      <c r="AA125" s="179"/>
      <c r="AC125" s="179"/>
      <c r="AD125" s="179"/>
      <c r="AE125" s="179"/>
      <c r="AF125" s="179"/>
      <c r="AH125" s="179"/>
      <c r="AI125" s="179"/>
      <c r="AJ125" s="179"/>
      <c r="AK125" s="179"/>
      <c r="AM125" s="121">
        <f t="shared" si="9"/>
        <v>1</v>
      </c>
      <c r="AN125" s="121">
        <f t="shared" si="5"/>
        <v>1</v>
      </c>
      <c r="AO125" s="121">
        <f t="shared" si="10"/>
        <v>1</v>
      </c>
      <c r="AP125" s="121">
        <f t="shared" si="6"/>
        <v>1</v>
      </c>
      <c r="AQ125" s="121">
        <f t="shared" si="7"/>
        <v>0</v>
      </c>
      <c r="AR125" s="121">
        <f t="shared" si="8"/>
        <v>0</v>
      </c>
      <c r="AS125" s="121">
        <f t="shared" ref="AS125:AS128" si="11">IF(OR(ISBLANK(AH125),ISBLANK(I125)),1,IF(AH125&gt;I125,1,0))</f>
        <v>1</v>
      </c>
      <c r="AU125" s="39"/>
      <c r="AY125" s="36"/>
      <c r="AZ125" s="36"/>
      <c r="BA125" s="36"/>
      <c r="BB125" s="36"/>
      <c r="BC125" s="36"/>
      <c r="BD125" s="36"/>
      <c r="BE125" s="36"/>
      <c r="BF125" s="36"/>
    </row>
    <row r="126" spans="1:58" ht="15" customHeight="1" x14ac:dyDescent="0.3">
      <c r="C126" s="182">
        <f>Tables!$C$19</f>
        <v>7.64</v>
      </c>
      <c r="D126" s="182"/>
      <c r="G126" s="2" t="str">
        <f>Tables!$A$19</f>
        <v>(25-yr)</v>
      </c>
      <c r="I126" s="179"/>
      <c r="J126" s="179"/>
      <c r="K126" s="179"/>
      <c r="L126" s="179"/>
      <c r="N126" s="179"/>
      <c r="O126" s="179"/>
      <c r="P126" s="179"/>
      <c r="Q126" s="179"/>
      <c r="S126" s="179"/>
      <c r="T126" s="179"/>
      <c r="U126" s="179"/>
      <c r="V126" s="179"/>
      <c r="X126" s="179"/>
      <c r="Y126" s="179"/>
      <c r="Z126" s="179"/>
      <c r="AA126" s="179"/>
      <c r="AC126" s="179"/>
      <c r="AD126" s="179"/>
      <c r="AE126" s="179"/>
      <c r="AF126" s="179"/>
      <c r="AH126" s="179"/>
      <c r="AI126" s="179"/>
      <c r="AJ126" s="179"/>
      <c r="AK126" s="179"/>
      <c r="AM126" s="121">
        <f t="shared" si="9"/>
        <v>1</v>
      </c>
      <c r="AN126" s="121">
        <f t="shared" si="5"/>
        <v>1</v>
      </c>
      <c r="AO126" s="121">
        <f t="shared" si="10"/>
        <v>1</v>
      </c>
      <c r="AP126" s="121">
        <f t="shared" si="6"/>
        <v>1</v>
      </c>
      <c r="AQ126" s="121">
        <f t="shared" si="7"/>
        <v>0</v>
      </c>
      <c r="AR126" s="121">
        <f t="shared" si="8"/>
        <v>0</v>
      </c>
      <c r="AS126" s="121">
        <f t="shared" si="11"/>
        <v>1</v>
      </c>
      <c r="AU126" s="39"/>
      <c r="AY126" s="36"/>
      <c r="AZ126" s="36"/>
      <c r="BA126" s="36"/>
      <c r="BB126" s="36"/>
      <c r="BC126" s="36"/>
      <c r="BD126" s="36"/>
      <c r="BE126" s="36"/>
      <c r="BF126" s="36"/>
    </row>
    <row r="127" spans="1:58" ht="15" customHeight="1" x14ac:dyDescent="0.3">
      <c r="C127" s="182">
        <f>Tables!$C$20</f>
        <v>8.8000000000000007</v>
      </c>
      <c r="D127" s="182"/>
      <c r="G127" s="2" t="str">
        <f>Tables!$A$20</f>
        <v>(50-yr)</v>
      </c>
      <c r="I127" s="179"/>
      <c r="J127" s="179"/>
      <c r="K127" s="179"/>
      <c r="L127" s="179"/>
      <c r="N127" s="179"/>
      <c r="O127" s="179"/>
      <c r="P127" s="179"/>
      <c r="Q127" s="179"/>
      <c r="S127" s="179"/>
      <c r="T127" s="179"/>
      <c r="U127" s="179"/>
      <c r="V127" s="179"/>
      <c r="X127" s="179"/>
      <c r="Y127" s="179"/>
      <c r="Z127" s="179"/>
      <c r="AA127" s="179"/>
      <c r="AC127" s="179"/>
      <c r="AD127" s="179"/>
      <c r="AE127" s="179"/>
      <c r="AF127" s="179"/>
      <c r="AH127" s="179"/>
      <c r="AI127" s="179"/>
      <c r="AJ127" s="179"/>
      <c r="AK127" s="179"/>
      <c r="AM127" s="121">
        <f t="shared" si="9"/>
        <v>1</v>
      </c>
      <c r="AN127" s="121">
        <f t="shared" si="5"/>
        <v>1</v>
      </c>
      <c r="AO127" s="121">
        <f t="shared" si="10"/>
        <v>1</v>
      </c>
      <c r="AP127" s="121">
        <f t="shared" si="6"/>
        <v>1</v>
      </c>
      <c r="AQ127" s="121">
        <f t="shared" si="7"/>
        <v>0</v>
      </c>
      <c r="AR127" s="121">
        <f t="shared" si="8"/>
        <v>0</v>
      </c>
      <c r="AS127" s="121">
        <f t="shared" si="11"/>
        <v>1</v>
      </c>
      <c r="AY127" s="36"/>
      <c r="AZ127" s="36"/>
      <c r="BA127" s="36"/>
      <c r="BB127" s="36"/>
      <c r="BC127" s="36"/>
      <c r="BD127" s="36"/>
      <c r="BE127" s="36"/>
      <c r="BF127" s="36"/>
    </row>
    <row r="128" spans="1:58" ht="15" customHeight="1" x14ac:dyDescent="0.3">
      <c r="C128" s="182">
        <f>Tables!$C$21</f>
        <v>10</v>
      </c>
      <c r="D128" s="182"/>
      <c r="G128" s="2" t="str">
        <f>Tables!$A$21</f>
        <v>(100-yr)</v>
      </c>
      <c r="I128" s="179"/>
      <c r="J128" s="179"/>
      <c r="K128" s="179"/>
      <c r="L128" s="179"/>
      <c r="N128" s="179"/>
      <c r="O128" s="179"/>
      <c r="P128" s="179"/>
      <c r="Q128" s="179"/>
      <c r="S128" s="179"/>
      <c r="T128" s="179"/>
      <c r="U128" s="179"/>
      <c r="V128" s="179"/>
      <c r="X128" s="179"/>
      <c r="Y128" s="179"/>
      <c r="Z128" s="179"/>
      <c r="AA128" s="179"/>
      <c r="AC128" s="179"/>
      <c r="AD128" s="179"/>
      <c r="AE128" s="179"/>
      <c r="AF128" s="179"/>
      <c r="AH128" s="179"/>
      <c r="AI128" s="179"/>
      <c r="AJ128" s="179"/>
      <c r="AK128" s="179"/>
      <c r="AM128" s="121">
        <f t="shared" si="9"/>
        <v>1</v>
      </c>
      <c r="AN128" s="121">
        <f>IF(ISBLANK(N128),1,IF(N128=N121,0,1))</f>
        <v>1</v>
      </c>
      <c r="AO128" s="127">
        <f>AH74-X128</f>
        <v>0</v>
      </c>
      <c r="AP128" s="121">
        <f t="shared" si="6"/>
        <v>1</v>
      </c>
      <c r="AQ128" s="121">
        <f>IF($AR$117=0,0,IF($AH128&gt;=$AR$117,1,0))</f>
        <v>0</v>
      </c>
      <c r="AR128" s="121">
        <f>IF($AR$118=0,0,IF($AH128&gt;=$AR$118,1,0))</f>
        <v>0</v>
      </c>
      <c r="AS128" s="121">
        <f t="shared" si="11"/>
        <v>1</v>
      </c>
      <c r="AY128" s="36"/>
      <c r="AZ128" s="36"/>
      <c r="BA128" s="36"/>
      <c r="BB128" s="36"/>
      <c r="BC128" s="36"/>
      <c r="BD128" s="36"/>
      <c r="BE128" s="36"/>
      <c r="BF128" s="36"/>
    </row>
    <row r="129" spans="2:58" ht="4.95" customHeight="1" x14ac:dyDescent="0.3">
      <c r="AM129" s="122"/>
      <c r="AN129" s="122"/>
      <c r="AO129" s="122"/>
      <c r="AP129" s="122"/>
      <c r="AS129" s="122"/>
      <c r="AY129" s="36"/>
      <c r="AZ129" s="36"/>
      <c r="BA129" s="36"/>
      <c r="BB129" s="36"/>
      <c r="BC129" s="36"/>
      <c r="BD129" s="36"/>
      <c r="BE129" s="36"/>
      <c r="BF129" s="36"/>
    </row>
    <row r="130" spans="2:58" ht="15" customHeight="1" x14ac:dyDescent="0.3">
      <c r="B130" s="5" t="s">
        <v>23</v>
      </c>
      <c r="C130" s="5"/>
      <c r="D130" s="5"/>
      <c r="E130" s="5"/>
      <c r="F130" s="5"/>
      <c r="G130" s="5"/>
      <c r="AM130" s="23" t="s">
        <v>160</v>
      </c>
      <c r="AN130" s="23" t="s">
        <v>161</v>
      </c>
      <c r="AO130" s="23" t="s">
        <v>78</v>
      </c>
      <c r="AP130" s="23" t="s">
        <v>320</v>
      </c>
      <c r="AQ130" s="23" t="s">
        <v>413</v>
      </c>
      <c r="AR130" s="23" t="s">
        <v>488</v>
      </c>
      <c r="AS130" s="23" t="s">
        <v>79</v>
      </c>
      <c r="AY130" s="36"/>
      <c r="AZ130" s="36"/>
      <c r="BA130" s="36"/>
      <c r="BB130" s="36"/>
      <c r="BC130" s="36"/>
      <c r="BD130" s="36"/>
      <c r="BE130" s="36"/>
      <c r="BF130" s="36"/>
    </row>
    <row r="131" spans="2:58" ht="15" customHeight="1" x14ac:dyDescent="0.3">
      <c r="B131" s="192"/>
      <c r="C131" s="193"/>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c r="AH131" s="193"/>
      <c r="AI131" s="193"/>
      <c r="AJ131" s="193"/>
      <c r="AK131" s="194"/>
      <c r="AY131" s="36"/>
      <c r="AZ131" s="36"/>
      <c r="BA131" s="36"/>
      <c r="BB131" s="36"/>
      <c r="BC131" s="36"/>
      <c r="BD131" s="36"/>
      <c r="BE131" s="36"/>
      <c r="BF131" s="36"/>
    </row>
    <row r="132" spans="2:58" ht="15" customHeight="1" x14ac:dyDescent="0.3">
      <c r="B132" s="195"/>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c r="AK132" s="197"/>
      <c r="AU132" s="39"/>
      <c r="AY132" s="36"/>
      <c r="AZ132" s="36"/>
      <c r="BA132" s="36"/>
      <c r="BB132" s="36"/>
      <c r="BC132" s="36"/>
      <c r="BD132" s="36"/>
      <c r="BE132" s="36"/>
      <c r="BF132" s="36"/>
    </row>
    <row r="133" spans="2:58" ht="15" customHeight="1" x14ac:dyDescent="0.3">
      <c r="B133" s="195"/>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c r="AK133" s="197"/>
      <c r="AU133" s="35"/>
      <c r="AY133" s="36"/>
      <c r="AZ133" s="36"/>
      <c r="BA133" s="36"/>
      <c r="BB133" s="36"/>
      <c r="BC133" s="36"/>
      <c r="BD133" s="36"/>
      <c r="BE133" s="36"/>
      <c r="BF133" s="36"/>
    </row>
    <row r="134" spans="2:58" ht="15" customHeight="1" x14ac:dyDescent="0.3">
      <c r="B134" s="195"/>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c r="AK134" s="197"/>
      <c r="AX134"/>
      <c r="AY134" s="36"/>
      <c r="AZ134" s="36"/>
      <c r="BA134" s="36"/>
      <c r="BB134" s="36"/>
      <c r="BC134" s="36"/>
      <c r="BD134" s="36"/>
      <c r="BE134" s="36"/>
      <c r="BF134" s="36"/>
    </row>
    <row r="135" spans="2:58" ht="15" customHeight="1" x14ac:dyDescent="0.3">
      <c r="B135" s="195"/>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c r="AK135" s="197"/>
      <c r="AY135" s="36"/>
      <c r="AZ135" s="36"/>
      <c r="BA135" s="36"/>
      <c r="BB135" s="36"/>
      <c r="BC135" s="36"/>
      <c r="BD135" s="36"/>
      <c r="BE135" s="36"/>
      <c r="BF135" s="36"/>
    </row>
    <row r="136" spans="2:58" ht="15" customHeight="1" x14ac:dyDescent="0.3">
      <c r="B136" s="195"/>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c r="AK136" s="197"/>
      <c r="AY136" s="36"/>
      <c r="AZ136" s="36"/>
      <c r="BA136" s="36"/>
      <c r="BB136" s="36"/>
      <c r="BC136" s="36"/>
      <c r="BD136" s="36"/>
      <c r="BE136" s="36"/>
      <c r="BF136" s="36"/>
    </row>
    <row r="137" spans="2:58" ht="15" customHeight="1" x14ac:dyDescent="0.3">
      <c r="B137" s="198"/>
      <c r="C137" s="199"/>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200"/>
      <c r="AY137" s="36"/>
      <c r="AZ137" s="36"/>
      <c r="BA137" s="36"/>
      <c r="BB137" s="36"/>
      <c r="BC137" s="36"/>
      <c r="BD137" s="36"/>
      <c r="BE137" s="36"/>
      <c r="BF137" s="36"/>
    </row>
    <row r="138" spans="2:58" ht="4.95" customHeight="1" x14ac:dyDescent="0.3">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row>
    <row r="139" spans="2:58" ht="15" customHeight="1" x14ac:dyDescent="0.3">
      <c r="B139" s="1" t="s">
        <v>142</v>
      </c>
      <c r="C139" s="1"/>
      <c r="D139" s="1"/>
      <c r="E139" s="1"/>
      <c r="F139" s="1"/>
      <c r="G139" s="1"/>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row>
    <row r="140" spans="2:58" ht="15" customHeight="1" x14ac:dyDescent="0.3">
      <c r="C140" s="2"/>
      <c r="E140" s="2" t="s">
        <v>144</v>
      </c>
      <c r="F140" s="164"/>
      <c r="G140" s="164"/>
      <c r="H140" s="164"/>
      <c r="I140" s="164"/>
      <c r="J140" s="164"/>
      <c r="K140" s="164"/>
      <c r="L140" s="164"/>
      <c r="M140" s="164"/>
      <c r="N140" s="164"/>
      <c r="O140" s="164"/>
      <c r="P140" s="164"/>
      <c r="Q140" s="164"/>
      <c r="R140" s="164"/>
      <c r="S140" s="164"/>
      <c r="T140" s="164"/>
      <c r="U140" s="164"/>
      <c r="V140" s="164"/>
    </row>
    <row r="141" spans="2:58" ht="15" customHeight="1" x14ac:dyDescent="0.3">
      <c r="C141" s="2"/>
      <c r="E141" s="2" t="s">
        <v>145</v>
      </c>
      <c r="F141" s="190"/>
      <c r="G141" s="190"/>
      <c r="H141" s="190"/>
      <c r="I141" s="190"/>
      <c r="J141" s="190"/>
      <c r="K141" s="190"/>
      <c r="L141" s="190"/>
      <c r="M141" s="190"/>
      <c r="N141" s="190"/>
      <c r="O141" s="190"/>
      <c r="P141" s="190"/>
      <c r="Q141" s="190"/>
      <c r="R141" s="190"/>
      <c r="S141" s="190"/>
      <c r="T141" s="190"/>
      <c r="U141" s="190"/>
      <c r="V141" s="190"/>
      <c r="W141" s="4"/>
      <c r="X141" s="4"/>
      <c r="Y141" s="4"/>
      <c r="Z141" s="4"/>
      <c r="AA141" s="4"/>
      <c r="AB141" s="4"/>
      <c r="AC141" s="4"/>
      <c r="AD141" s="4"/>
      <c r="AE141" s="4"/>
      <c r="AF141" s="4"/>
      <c r="AG141" s="4"/>
      <c r="AH141" s="4"/>
      <c r="AI141" s="4"/>
      <c r="AJ141" s="4"/>
      <c r="AK141" s="4"/>
    </row>
    <row r="142" spans="2:58" ht="15" customHeight="1" x14ac:dyDescent="0.3">
      <c r="C142" s="2"/>
      <c r="E142" s="2" t="s">
        <v>359</v>
      </c>
      <c r="F142" s="190"/>
      <c r="G142" s="190"/>
      <c r="H142" s="190"/>
      <c r="I142" s="190"/>
      <c r="J142" s="190"/>
      <c r="K142" s="190"/>
      <c r="L142" s="190"/>
      <c r="M142" s="190"/>
      <c r="N142" s="190"/>
      <c r="O142" s="190"/>
      <c r="P142" s="190"/>
      <c r="Q142" s="190"/>
      <c r="R142" s="190"/>
      <c r="S142" s="190"/>
      <c r="T142" s="190"/>
      <c r="U142" s="190"/>
      <c r="V142" s="190"/>
      <c r="X142" s="2"/>
      <c r="Y142" s="2" t="s">
        <v>148</v>
      </c>
      <c r="Z142" s="187"/>
      <c r="AA142" s="187"/>
      <c r="AB142" s="187"/>
      <c r="AC142" s="187"/>
      <c r="AF142" s="2"/>
      <c r="AG142" s="2" t="s">
        <v>149</v>
      </c>
      <c r="AH142" s="187"/>
      <c r="AI142" s="187"/>
      <c r="AJ142" s="187"/>
      <c r="AK142" s="187"/>
    </row>
    <row r="143" spans="2:58" ht="15" customHeight="1" x14ac:dyDescent="0.3">
      <c r="C143" s="2"/>
      <c r="E143" s="2" t="s">
        <v>471</v>
      </c>
      <c r="F143" s="164"/>
      <c r="G143" s="164"/>
      <c r="H143" s="164"/>
      <c r="I143" s="164"/>
      <c r="J143" s="164"/>
      <c r="K143" s="164"/>
      <c r="L143" s="164"/>
      <c r="M143" s="164"/>
      <c r="N143" s="164"/>
      <c r="O143" s="164"/>
      <c r="P143" s="164"/>
      <c r="Q143" s="164"/>
      <c r="R143" s="164"/>
      <c r="S143" s="164"/>
      <c r="T143" s="164"/>
      <c r="U143" s="164"/>
      <c r="V143" s="164"/>
      <c r="X143" s="2"/>
      <c r="Y143" s="2"/>
      <c r="Z143" s="2"/>
      <c r="AA143" s="2"/>
      <c r="AB143" s="2"/>
      <c r="AC143" s="2"/>
      <c r="AD143" s="2"/>
      <c r="AE143" s="2"/>
      <c r="AF143" s="2"/>
      <c r="AG143" s="2"/>
      <c r="AH143" s="2"/>
      <c r="AI143" s="2"/>
      <c r="AJ143" s="2"/>
      <c r="AK143" s="2"/>
      <c r="AL143" s="2"/>
      <c r="AT143" s="2"/>
      <c r="AU143" s="2"/>
    </row>
    <row r="144" spans="2:58" ht="15" customHeight="1" x14ac:dyDescent="0.3">
      <c r="C144" s="2"/>
      <c r="E144" s="2" t="s">
        <v>146</v>
      </c>
      <c r="F144" s="218"/>
      <c r="G144" s="218"/>
      <c r="H144" s="218"/>
      <c r="I144" s="218"/>
      <c r="J144" s="218"/>
      <c r="K144" s="218"/>
      <c r="L144" s="218"/>
      <c r="M144" s="218"/>
      <c r="N144" s="218"/>
      <c r="O144" s="218"/>
      <c r="P144" s="218"/>
      <c r="Q144" s="218"/>
      <c r="R144" s="218"/>
      <c r="S144" s="218"/>
      <c r="T144" s="218"/>
      <c r="U144" s="218"/>
      <c r="V144" s="218"/>
      <c r="X144" s="11"/>
      <c r="Y144" s="11"/>
      <c r="Z144" s="11"/>
      <c r="AA144" s="11"/>
      <c r="AB144" s="11"/>
      <c r="AC144" s="11"/>
      <c r="AD144" s="2" t="s">
        <v>150</v>
      </c>
      <c r="AE144" s="214"/>
      <c r="AF144" s="214"/>
      <c r="AG144" s="214"/>
      <c r="AH144" s="214"/>
      <c r="AI144" s="214"/>
    </row>
    <row r="145" spans="2:39" ht="4.95" customHeight="1" x14ac:dyDescent="0.3">
      <c r="B145" s="2"/>
      <c r="C145" s="2"/>
      <c r="D145" s="2"/>
      <c r="E145" s="2"/>
      <c r="F145" s="2"/>
      <c r="G145" s="2"/>
      <c r="H145" s="50"/>
      <c r="I145" s="50"/>
      <c r="J145" s="50"/>
      <c r="K145" s="50"/>
      <c r="L145" s="50"/>
      <c r="M145" s="50"/>
      <c r="N145" s="50"/>
      <c r="O145" s="50"/>
      <c r="P145" s="50"/>
      <c r="Q145" s="50"/>
      <c r="R145" s="50"/>
      <c r="S145" s="50"/>
      <c r="T145" s="50"/>
      <c r="U145" s="50"/>
      <c r="V145" s="50"/>
      <c r="X145" s="4"/>
      <c r="Y145" s="4"/>
      <c r="Z145" s="4"/>
      <c r="AA145" s="4"/>
      <c r="AB145" s="4"/>
      <c r="AC145" s="4"/>
      <c r="AD145" s="2"/>
      <c r="AE145" s="4"/>
      <c r="AF145" s="4"/>
      <c r="AG145" s="4"/>
      <c r="AH145" s="4"/>
      <c r="AI145" s="4"/>
      <c r="AJ145" s="4"/>
      <c r="AK145" s="4"/>
    </row>
    <row r="146" spans="2:39" ht="15" customHeight="1" x14ac:dyDescent="0.3">
      <c r="B146" s="1" t="s">
        <v>327</v>
      </c>
      <c r="C146" s="1"/>
      <c r="D146" s="1"/>
      <c r="E146" s="1"/>
      <c r="F146" s="1"/>
      <c r="G146" s="1"/>
      <c r="H146" s="4"/>
      <c r="I146" s="4"/>
      <c r="J146" s="4"/>
      <c r="K146" s="4"/>
      <c r="L146" s="4"/>
      <c r="M146" s="4"/>
      <c r="N146" s="4"/>
      <c r="O146" s="4"/>
      <c r="P146" s="4"/>
      <c r="Q146" s="4"/>
      <c r="R146" s="4"/>
      <c r="S146" s="4"/>
      <c r="T146" s="4"/>
      <c r="U146" s="4"/>
      <c r="V146" s="4"/>
      <c r="X146" s="4"/>
      <c r="Y146" s="4"/>
      <c r="Z146" s="4"/>
      <c r="AA146" s="4"/>
      <c r="AB146" s="4"/>
      <c r="AC146" s="4"/>
      <c r="AD146" s="22"/>
      <c r="AE146" s="39" t="s">
        <v>143</v>
      </c>
      <c r="AH146" s="4"/>
      <c r="AI146" s="4"/>
      <c r="AJ146" s="4"/>
      <c r="AK146" s="4"/>
      <c r="AM146" s="121">
        <f>IF(ISBLANK(AD146),1,2)</f>
        <v>1</v>
      </c>
    </row>
    <row r="147" spans="2:39" ht="15" customHeight="1" x14ac:dyDescent="0.3">
      <c r="C147" s="2"/>
      <c r="E147" s="2" t="s">
        <v>147</v>
      </c>
      <c r="F147" s="164"/>
      <c r="G147" s="164"/>
      <c r="H147" s="164"/>
      <c r="I147" s="164"/>
      <c r="J147" s="164"/>
      <c r="K147" s="164"/>
      <c r="L147" s="164"/>
      <c r="M147" s="164"/>
      <c r="N147" s="164"/>
      <c r="O147" s="164"/>
      <c r="P147" s="164"/>
      <c r="Q147" s="164"/>
      <c r="R147" s="164"/>
      <c r="S147" s="164"/>
      <c r="T147" s="164"/>
      <c r="U147" s="164"/>
      <c r="V147" s="164"/>
      <c r="AM147" s="121">
        <f>IF(AND(ISBLANK(F147),ISBLANK(F148),ISBLANK(F149),ISBLANK(F150),ISBLANK(F151),ISBLANK(Z149),ISBLANK(AH149),ISBLANK(AE150),ISBLANK(AE151)),1,2)</f>
        <v>1</v>
      </c>
    </row>
    <row r="148" spans="2:39" ht="15" customHeight="1" x14ac:dyDescent="0.3">
      <c r="C148" s="2"/>
      <c r="E148" s="2" t="s">
        <v>145</v>
      </c>
      <c r="F148" s="190"/>
      <c r="G148" s="190"/>
      <c r="H148" s="190"/>
      <c r="I148" s="190"/>
      <c r="J148" s="190"/>
      <c r="K148" s="190"/>
      <c r="L148" s="190"/>
      <c r="M148" s="190"/>
      <c r="N148" s="190"/>
      <c r="O148" s="190"/>
      <c r="P148" s="190"/>
      <c r="Q148" s="190"/>
      <c r="R148" s="190"/>
      <c r="S148" s="190"/>
      <c r="T148" s="190"/>
      <c r="U148" s="190"/>
      <c r="V148" s="190"/>
      <c r="AE148" s="4"/>
      <c r="AF148" s="4"/>
      <c r="AG148" s="4"/>
      <c r="AH148" s="4"/>
      <c r="AI148" s="4"/>
      <c r="AJ148" s="4"/>
      <c r="AK148" s="4"/>
    </row>
    <row r="149" spans="2:39" ht="15" customHeight="1" x14ac:dyDescent="0.3">
      <c r="C149" s="2"/>
      <c r="E149" s="2" t="s">
        <v>359</v>
      </c>
      <c r="F149" s="190"/>
      <c r="G149" s="190"/>
      <c r="H149" s="190"/>
      <c r="I149" s="190"/>
      <c r="J149" s="190"/>
      <c r="K149" s="190"/>
      <c r="L149" s="190"/>
      <c r="M149" s="190"/>
      <c r="N149" s="190"/>
      <c r="O149" s="190"/>
      <c r="P149" s="190"/>
      <c r="Q149" s="190"/>
      <c r="R149" s="190"/>
      <c r="S149" s="190"/>
      <c r="T149" s="190"/>
      <c r="U149" s="190"/>
      <c r="V149" s="190"/>
      <c r="X149" s="2"/>
      <c r="Y149" s="2" t="s">
        <v>148</v>
      </c>
      <c r="Z149" s="187"/>
      <c r="AA149" s="187"/>
      <c r="AB149" s="187"/>
      <c r="AC149" s="187"/>
      <c r="AF149" s="2"/>
      <c r="AG149" s="2" t="s">
        <v>149</v>
      </c>
      <c r="AH149" s="187"/>
      <c r="AI149" s="187"/>
      <c r="AJ149" s="187"/>
      <c r="AK149" s="187"/>
    </row>
    <row r="150" spans="2:39" ht="15" customHeight="1" x14ac:dyDescent="0.3">
      <c r="C150" s="2"/>
      <c r="E150" s="2" t="s">
        <v>471</v>
      </c>
      <c r="F150" s="164"/>
      <c r="G150" s="164"/>
      <c r="H150" s="164"/>
      <c r="I150" s="164"/>
      <c r="J150" s="164"/>
      <c r="K150" s="164"/>
      <c r="L150" s="164"/>
      <c r="M150" s="164"/>
      <c r="N150" s="164"/>
      <c r="O150" s="164"/>
      <c r="P150" s="164"/>
      <c r="Q150" s="164"/>
      <c r="R150" s="164"/>
      <c r="S150" s="164"/>
      <c r="T150" s="164"/>
      <c r="U150" s="164"/>
      <c r="V150" s="164"/>
      <c r="W150" s="4"/>
      <c r="X150" s="4"/>
      <c r="Y150" s="4"/>
      <c r="Z150" s="4"/>
      <c r="AA150" s="4"/>
      <c r="AB150" s="4"/>
      <c r="AC150" s="4"/>
      <c r="AD150" s="2" t="s">
        <v>151</v>
      </c>
      <c r="AE150" s="164"/>
      <c r="AF150" s="164"/>
      <c r="AG150" s="164"/>
      <c r="AH150" s="164"/>
      <c r="AI150" s="164"/>
      <c r="AJ150" s="164"/>
      <c r="AK150" s="164"/>
    </row>
    <row r="151" spans="2:39" ht="15" customHeight="1" x14ac:dyDescent="0.3">
      <c r="C151" s="2"/>
      <c r="E151" s="2" t="s">
        <v>146</v>
      </c>
      <c r="F151" s="218"/>
      <c r="G151" s="218"/>
      <c r="H151" s="218"/>
      <c r="I151" s="218"/>
      <c r="J151" s="218"/>
      <c r="K151" s="218"/>
      <c r="L151" s="218"/>
      <c r="M151" s="218"/>
      <c r="N151" s="218"/>
      <c r="O151" s="218"/>
      <c r="P151" s="218"/>
      <c r="Q151" s="218"/>
      <c r="R151" s="218"/>
      <c r="S151" s="218"/>
      <c r="T151" s="218"/>
      <c r="U151" s="218"/>
      <c r="V151" s="218"/>
      <c r="AD151" s="2" t="s">
        <v>150</v>
      </c>
      <c r="AE151" s="221"/>
      <c r="AF151" s="221"/>
      <c r="AG151" s="221"/>
      <c r="AH151" s="221"/>
      <c r="AI151" s="221"/>
    </row>
    <row r="152" spans="2:39" ht="15" customHeight="1" x14ac:dyDescent="0.3">
      <c r="AK152" s="41"/>
    </row>
    <row r="153" spans="2:39" ht="15" customHeight="1" x14ac:dyDescent="0.3">
      <c r="B153" s="166">
        <f>Tables!$C$13</f>
        <v>45566</v>
      </c>
      <c r="C153" s="166"/>
      <c r="D153" s="166"/>
      <c r="E153" s="166"/>
      <c r="F153" s="166"/>
      <c r="G153" s="166"/>
      <c r="H153" s="166"/>
      <c r="R153" s="167" t="s">
        <v>466</v>
      </c>
      <c r="S153" s="167"/>
      <c r="T153" s="167"/>
      <c r="U153" s="167"/>
      <c r="AK153" s="41"/>
    </row>
    <row r="154" spans="2:39" ht="15" customHeight="1" x14ac:dyDescent="0.3">
      <c r="C154" s="2" t="s">
        <v>1</v>
      </c>
      <c r="D154" s="169">
        <f>IF(ISBLANK($E$15),"",$E$15)</f>
        <v>0</v>
      </c>
      <c r="E154" s="169"/>
      <c r="F154" s="169"/>
      <c r="G154" s="169"/>
      <c r="H154" s="169"/>
      <c r="I154" s="169"/>
      <c r="J154" s="169"/>
      <c r="K154" s="169"/>
      <c r="L154" s="169"/>
      <c r="M154" s="169"/>
      <c r="N154" s="169"/>
      <c r="O154" s="169"/>
      <c r="P154" s="169"/>
      <c r="Q154" s="169"/>
      <c r="R154" s="169"/>
      <c r="S154" s="169"/>
      <c r="T154" s="169"/>
      <c r="U154" s="169"/>
      <c r="V154" s="169"/>
      <c r="W154" s="169"/>
      <c r="X154" s="169"/>
      <c r="Y154" s="169"/>
      <c r="Z154" s="169"/>
      <c r="AA154" s="46"/>
      <c r="AB154" s="46"/>
      <c r="AC154" s="46"/>
      <c r="AF154" s="2" t="s">
        <v>21</v>
      </c>
      <c r="AG154" s="170">
        <f>$AF$15</f>
        <v>0</v>
      </c>
      <c r="AH154" s="170"/>
      <c r="AI154" s="170"/>
      <c r="AJ154" s="170"/>
      <c r="AK154" s="170"/>
    </row>
    <row r="155" spans="2:39" ht="15" customHeight="1" x14ac:dyDescent="0.3">
      <c r="H155" s="47"/>
      <c r="I155" s="47"/>
      <c r="J155" s="2"/>
      <c r="K155" s="2"/>
      <c r="L155" s="2"/>
      <c r="M155" s="47"/>
      <c r="N155" s="46"/>
      <c r="O155" s="46"/>
      <c r="P155" s="46"/>
      <c r="Q155" s="46"/>
      <c r="R155" s="46"/>
      <c r="S155" s="46"/>
      <c r="T155" s="46"/>
      <c r="U155" s="46"/>
      <c r="V155" s="46"/>
      <c r="W155" s="46"/>
      <c r="X155" s="46"/>
      <c r="Y155" s="46"/>
      <c r="Z155" s="46"/>
      <c r="AA155" s="46"/>
      <c r="AB155" s="46"/>
      <c r="AC155" s="46"/>
      <c r="AF155" s="2" t="s">
        <v>35</v>
      </c>
      <c r="AG155" s="220">
        <f>IF(ISBLANK($AF$16),"",$AF$16)</f>
        <v>0</v>
      </c>
      <c r="AH155" s="220"/>
      <c r="AI155" s="220"/>
      <c r="AJ155" s="220"/>
      <c r="AK155" s="220"/>
    </row>
    <row r="156" spans="2:39" ht="15" customHeight="1" x14ac:dyDescent="0.3">
      <c r="B156" s="1" t="s">
        <v>19</v>
      </c>
      <c r="C156" s="1"/>
      <c r="D156" s="1"/>
      <c r="E156" s="1"/>
      <c r="F156" s="1"/>
      <c r="G156" s="1"/>
      <c r="H156" s="1"/>
      <c r="I156" s="1"/>
    </row>
    <row r="157" spans="2:39" ht="15" customHeight="1" x14ac:dyDescent="0.3">
      <c r="B157" s="236" t="s">
        <v>328</v>
      </c>
      <c r="C157" s="236"/>
      <c r="D157" s="236"/>
      <c r="E157" s="236"/>
      <c r="F157" s="236"/>
      <c r="G157" s="236"/>
      <c r="H157" s="236"/>
      <c r="I157" s="236"/>
      <c r="J157" s="236"/>
      <c r="K157" s="236"/>
      <c r="L157" s="236"/>
      <c r="M157" s="236"/>
      <c r="N157" s="236"/>
      <c r="O157" s="236"/>
      <c r="P157" s="236"/>
      <c r="Q157" s="236"/>
      <c r="R157" s="236"/>
      <c r="S157" s="236"/>
      <c r="T157" s="236"/>
      <c r="U157" s="236"/>
      <c r="V157" s="236"/>
      <c r="W157" s="236"/>
      <c r="X157" s="236"/>
      <c r="Y157" s="236"/>
      <c r="Z157" s="236"/>
      <c r="AA157" s="236"/>
      <c r="AB157" s="236"/>
      <c r="AC157" s="236"/>
      <c r="AD157" s="236"/>
      <c r="AE157" s="236"/>
      <c r="AF157" s="236"/>
      <c r="AG157" s="236"/>
      <c r="AH157" s="236"/>
      <c r="AI157" s="236"/>
      <c r="AJ157" s="236"/>
      <c r="AK157" s="236"/>
    </row>
    <row r="158" spans="2:39" ht="15" customHeight="1" x14ac:dyDescent="0.3">
      <c r="B158" s="236"/>
      <c r="C158" s="236"/>
      <c r="D158" s="236"/>
      <c r="E158" s="236"/>
      <c r="F158" s="236"/>
      <c r="G158" s="236"/>
      <c r="H158" s="236"/>
      <c r="I158" s="236"/>
      <c r="J158" s="236"/>
      <c r="K158" s="236"/>
      <c r="L158" s="236"/>
      <c r="M158" s="236"/>
      <c r="N158" s="236"/>
      <c r="O158" s="236"/>
      <c r="P158" s="236"/>
      <c r="Q158" s="236"/>
      <c r="R158" s="236"/>
      <c r="S158" s="236"/>
      <c r="T158" s="236"/>
      <c r="U158" s="236"/>
      <c r="V158" s="236"/>
      <c r="W158" s="236"/>
      <c r="X158" s="236"/>
      <c r="Y158" s="236"/>
      <c r="Z158" s="236"/>
      <c r="AA158" s="236"/>
      <c r="AB158" s="236"/>
      <c r="AC158" s="236"/>
      <c r="AD158" s="236"/>
      <c r="AE158" s="236"/>
      <c r="AF158" s="236"/>
      <c r="AG158" s="236"/>
      <c r="AH158" s="236"/>
      <c r="AI158" s="236"/>
      <c r="AJ158" s="236"/>
      <c r="AK158" s="236"/>
    </row>
    <row r="159" spans="2:39" ht="15" customHeight="1" x14ac:dyDescent="0.3">
      <c r="B159" s="236"/>
      <c r="C159" s="236"/>
      <c r="D159" s="236"/>
      <c r="E159" s="236"/>
      <c r="F159" s="236"/>
      <c r="G159" s="236"/>
      <c r="H159" s="236"/>
      <c r="I159" s="236"/>
      <c r="J159" s="236"/>
      <c r="K159" s="236"/>
      <c r="L159" s="236"/>
      <c r="M159" s="236"/>
      <c r="N159" s="236"/>
      <c r="O159" s="236"/>
      <c r="P159" s="236"/>
      <c r="Q159" s="236"/>
      <c r="R159" s="236"/>
      <c r="S159" s="236"/>
      <c r="T159" s="236"/>
      <c r="U159" s="236"/>
      <c r="V159" s="236"/>
      <c r="W159" s="236"/>
      <c r="X159" s="236"/>
      <c r="Y159" s="236"/>
      <c r="Z159" s="236"/>
      <c r="AA159" s="236"/>
      <c r="AB159" s="236"/>
      <c r="AC159" s="236"/>
      <c r="AD159" s="236"/>
      <c r="AE159" s="236"/>
      <c r="AF159" s="236"/>
      <c r="AG159" s="236"/>
      <c r="AH159" s="236"/>
      <c r="AI159" s="236"/>
      <c r="AJ159" s="236"/>
      <c r="AK159" s="236"/>
    </row>
    <row r="160" spans="2:39" ht="15" customHeight="1" x14ac:dyDescent="0.3">
      <c r="B160" s="236"/>
      <c r="C160" s="236"/>
      <c r="D160" s="236"/>
      <c r="E160" s="236"/>
      <c r="F160" s="236"/>
      <c r="G160" s="236"/>
      <c r="H160" s="236"/>
      <c r="I160" s="236"/>
      <c r="J160" s="236"/>
      <c r="K160" s="236"/>
      <c r="L160" s="236"/>
      <c r="M160" s="236"/>
      <c r="N160" s="236"/>
      <c r="O160" s="236"/>
      <c r="P160" s="236"/>
      <c r="Q160" s="236"/>
      <c r="R160" s="236"/>
      <c r="S160" s="236"/>
      <c r="T160" s="236"/>
      <c r="U160" s="236"/>
      <c r="V160" s="236"/>
      <c r="W160" s="236"/>
      <c r="X160" s="236"/>
      <c r="Y160" s="236"/>
      <c r="Z160" s="236"/>
      <c r="AA160" s="236"/>
      <c r="AB160" s="236"/>
      <c r="AC160" s="236"/>
      <c r="AD160" s="236"/>
      <c r="AE160" s="236"/>
      <c r="AF160" s="236"/>
      <c r="AG160" s="236"/>
      <c r="AH160" s="236"/>
      <c r="AI160" s="236"/>
      <c r="AJ160" s="236"/>
      <c r="AK160" s="236"/>
    </row>
    <row r="161" spans="2:42" ht="15" customHeight="1" x14ac:dyDescent="0.3">
      <c r="D161" s="2" t="s">
        <v>184</v>
      </c>
      <c r="E161" s="164"/>
      <c r="F161" s="164"/>
      <c r="G161" s="164"/>
      <c r="H161" s="164"/>
      <c r="I161" s="164"/>
      <c r="J161" s="164"/>
      <c r="K161" s="164"/>
      <c r="L161" s="164"/>
      <c r="M161" s="164"/>
      <c r="N161" s="164"/>
      <c r="O161" s="164"/>
      <c r="P161" s="164"/>
      <c r="Q161" s="164"/>
      <c r="R161" s="164"/>
      <c r="S161" s="164"/>
      <c r="T161" s="164"/>
      <c r="U161" s="164"/>
      <c r="V161" s="164"/>
      <c r="W161" s="164"/>
      <c r="X161" s="164"/>
      <c r="Y161" s="164"/>
      <c r="AB161" s="2" t="s">
        <v>378</v>
      </c>
      <c r="AC161" s="2"/>
      <c r="AD161" s="2"/>
      <c r="AE161" s="2"/>
    </row>
    <row r="162" spans="2:42" ht="15" customHeight="1" x14ac:dyDescent="0.3">
      <c r="D162" s="2" t="s">
        <v>144</v>
      </c>
      <c r="E162" s="190"/>
      <c r="F162" s="190"/>
      <c r="G162" s="190"/>
      <c r="H162" s="190"/>
      <c r="I162" s="190"/>
      <c r="J162" s="190"/>
      <c r="K162" s="190"/>
      <c r="L162" s="190"/>
      <c r="M162" s="190"/>
      <c r="N162" s="190"/>
      <c r="O162" s="190"/>
      <c r="P162" s="190"/>
      <c r="Q162" s="190"/>
      <c r="R162" s="190"/>
      <c r="S162" s="190"/>
      <c r="T162" s="190"/>
      <c r="U162" s="190"/>
      <c r="V162" s="190"/>
      <c r="W162" s="190"/>
      <c r="X162" s="190"/>
      <c r="Y162" s="190"/>
    </row>
    <row r="163" spans="2:42" ht="15" customHeight="1" x14ac:dyDescent="0.3">
      <c r="D163" s="2" t="s">
        <v>145</v>
      </c>
      <c r="E163" s="190"/>
      <c r="F163" s="190"/>
      <c r="G163" s="190"/>
      <c r="H163" s="190"/>
      <c r="I163" s="190"/>
      <c r="J163" s="190"/>
      <c r="K163" s="190"/>
      <c r="L163" s="190"/>
      <c r="M163" s="190"/>
      <c r="N163" s="190"/>
      <c r="O163" s="190"/>
      <c r="P163" s="190"/>
      <c r="Q163" s="190"/>
      <c r="R163" s="190"/>
      <c r="S163" s="190"/>
      <c r="T163" s="190"/>
      <c r="U163" s="190"/>
      <c r="V163" s="190"/>
      <c r="W163" s="190"/>
      <c r="X163" s="190"/>
      <c r="Y163" s="190"/>
    </row>
    <row r="164" spans="2:42" ht="15" customHeight="1" x14ac:dyDescent="0.3">
      <c r="D164" s="2" t="s">
        <v>359</v>
      </c>
      <c r="E164" s="190"/>
      <c r="F164" s="190"/>
      <c r="G164" s="190"/>
      <c r="H164" s="190"/>
      <c r="I164" s="190"/>
      <c r="J164" s="190"/>
      <c r="K164" s="190"/>
      <c r="L164" s="78"/>
      <c r="M164" s="78"/>
      <c r="N164" s="133" t="s">
        <v>148</v>
      </c>
      <c r="O164" s="190"/>
      <c r="P164" s="190"/>
      <c r="Q164" s="190"/>
      <c r="R164" s="190"/>
      <c r="S164" s="78"/>
      <c r="T164" s="78"/>
      <c r="U164" s="78"/>
      <c r="V164" s="133" t="s">
        <v>149</v>
      </c>
      <c r="W164" s="178"/>
      <c r="X164" s="178"/>
      <c r="Y164" s="178"/>
    </row>
    <row r="165" spans="2:42" ht="15" customHeight="1" x14ac:dyDescent="0.3">
      <c r="D165" s="2" t="s">
        <v>146</v>
      </c>
      <c r="E165" s="205"/>
      <c r="F165" s="205"/>
      <c r="G165" s="205"/>
      <c r="H165" s="205"/>
      <c r="I165" s="205"/>
      <c r="J165" s="205"/>
      <c r="K165" s="205"/>
      <c r="L165" s="205"/>
      <c r="M165" s="205"/>
      <c r="N165" s="205"/>
      <c r="O165" s="205"/>
      <c r="P165" s="205"/>
      <c r="Q165" s="205"/>
      <c r="R165" s="205"/>
      <c r="S165" s="205"/>
      <c r="T165" s="205"/>
      <c r="U165" s="205"/>
      <c r="V165" s="205"/>
      <c r="W165" s="205"/>
      <c r="X165" s="205"/>
      <c r="Y165" s="205"/>
    </row>
    <row r="166" spans="2:42" ht="15" customHeight="1" x14ac:dyDescent="0.3">
      <c r="D166" s="2" t="s">
        <v>150</v>
      </c>
      <c r="E166" s="191"/>
      <c r="F166" s="191"/>
      <c r="G166" s="191"/>
      <c r="H166" s="191"/>
      <c r="I166" s="191"/>
      <c r="U166" s="67"/>
      <c r="V166" s="67"/>
      <c r="W166" s="67"/>
    </row>
    <row r="167" spans="2:42" ht="15" customHeight="1" x14ac:dyDescent="0.3">
      <c r="D167" s="2"/>
      <c r="E167" s="78"/>
      <c r="F167" s="78"/>
      <c r="G167" s="78"/>
      <c r="H167" s="78"/>
      <c r="I167" s="78"/>
      <c r="U167" s="67"/>
      <c r="V167" s="67"/>
      <c r="W167" s="67"/>
    </row>
    <row r="168" spans="2:42" ht="15" customHeight="1" x14ac:dyDescent="0.3">
      <c r="D168" s="2" t="s">
        <v>185</v>
      </c>
      <c r="E168" s="103"/>
      <c r="F168" s="103"/>
      <c r="G168" s="103"/>
      <c r="H168" s="103"/>
      <c r="I168" s="103"/>
      <c r="J168" s="103"/>
      <c r="K168" s="103"/>
      <c r="L168" s="103"/>
      <c r="M168" s="103"/>
      <c r="N168" s="103"/>
      <c r="O168" s="103"/>
      <c r="P168" s="103"/>
      <c r="Q168" s="103"/>
      <c r="R168" s="103"/>
      <c r="S168" s="103"/>
      <c r="T168" s="103"/>
      <c r="U168" s="67"/>
      <c r="V168" s="67"/>
      <c r="W168" s="67"/>
      <c r="AB168" s="2" t="s">
        <v>180</v>
      </c>
      <c r="AC168" s="177"/>
      <c r="AD168" s="177"/>
      <c r="AE168" s="177"/>
      <c r="AF168" s="177"/>
      <c r="AG168" s="177"/>
    </row>
    <row r="169" spans="2:42" ht="15" customHeight="1" x14ac:dyDescent="0.3">
      <c r="S169" s="67"/>
      <c r="T169" s="67"/>
    </row>
    <row r="170" spans="2:42" ht="15" customHeight="1" x14ac:dyDescent="0.3">
      <c r="B170" s="1" t="s">
        <v>450</v>
      </c>
      <c r="F170" s="47"/>
      <c r="G170" s="47"/>
      <c r="H170" s="39" t="s">
        <v>451</v>
      </c>
      <c r="I170" s="47"/>
      <c r="J170" s="47"/>
      <c r="K170" s="2"/>
      <c r="L170" s="2"/>
      <c r="M170" s="2"/>
      <c r="N170" s="2"/>
      <c r="O170" s="47"/>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M170" s="13"/>
      <c r="AN170" s="13"/>
    </row>
    <row r="171" spans="2:42" ht="15" customHeight="1" x14ac:dyDescent="0.3">
      <c r="C171" s="39" t="s">
        <v>169</v>
      </c>
      <c r="E171" s="39" t="s">
        <v>153</v>
      </c>
      <c r="AM171" s="121">
        <f>SUM(AM175,AM177,AM179,AM181,AM183,AM185,AM187,AM189)</f>
        <v>8</v>
      </c>
      <c r="AP171" s="121">
        <f>SUM(AP175,AP177,AP179,AP181,AP183,AP185,AP187,AP189)</f>
        <v>0</v>
      </c>
    </row>
    <row r="172" spans="2:42" ht="4.95" customHeight="1" x14ac:dyDescent="0.3"/>
    <row r="173" spans="2:42" ht="15" customHeight="1" x14ac:dyDescent="0.3">
      <c r="C173" s="70"/>
      <c r="E173" s="70"/>
      <c r="G173" s="39" t="s">
        <v>452</v>
      </c>
      <c r="X173" s="39" t="s">
        <v>453</v>
      </c>
      <c r="AC173" s="39" t="s">
        <v>454</v>
      </c>
      <c r="AM173" s="121">
        <f>IF(AND(ISBLANK(C173),ISBLANK(E173)),1,2)</f>
        <v>1</v>
      </c>
      <c r="AN173" s="121">
        <f>IF(ISBLANK(E173),1,2)</f>
        <v>1</v>
      </c>
      <c r="AO173" s="121">
        <f>IF(ISBLANK(C173),1,2)</f>
        <v>1</v>
      </c>
      <c r="AP173" s="121">
        <f>IF(ISBLANK(E173),0,1)</f>
        <v>0</v>
      </c>
    </row>
    <row r="174" spans="2:42" ht="4.95" customHeight="1" x14ac:dyDescent="0.3"/>
    <row r="175" spans="2:42" ht="15" customHeight="1" x14ac:dyDescent="0.3">
      <c r="C175" s="70"/>
      <c r="E175" s="70"/>
      <c r="G175" s="39" t="s">
        <v>460</v>
      </c>
      <c r="Y175" s="187"/>
      <c r="Z175" s="187"/>
      <c r="AC175" s="219"/>
      <c r="AD175" s="219"/>
      <c r="AE175" s="219"/>
      <c r="AF175" s="219"/>
      <c r="AG175" s="219"/>
      <c r="AH175" s="219"/>
      <c r="AI175" s="219"/>
      <c r="AM175" s="121">
        <f>IF(AND(ISBLANK(C175),ISBLANK(E175)),1,2)</f>
        <v>1</v>
      </c>
      <c r="AN175" s="121">
        <f>IF(ISBLANK(E175),1,2)</f>
        <v>1</v>
      </c>
      <c r="AO175" s="121">
        <f>IF(ISBLANK(C175),1,2)</f>
        <v>1</v>
      </c>
      <c r="AP175" s="121">
        <f>IF(ISBLANK(E175),0,1)</f>
        <v>0</v>
      </c>
    </row>
    <row r="176" spans="2:42" ht="4.95" customHeight="1" x14ac:dyDescent="0.3"/>
    <row r="177" spans="1:42" ht="15" customHeight="1" x14ac:dyDescent="0.3">
      <c r="C177" s="70"/>
      <c r="E177" s="70"/>
      <c r="G177" s="39" t="s">
        <v>457</v>
      </c>
      <c r="Y177" s="187"/>
      <c r="Z177" s="187"/>
      <c r="AC177" s="219"/>
      <c r="AD177" s="219"/>
      <c r="AE177" s="219"/>
      <c r="AF177" s="219"/>
      <c r="AG177" s="219"/>
      <c r="AH177" s="219"/>
      <c r="AI177" s="219"/>
      <c r="AM177" s="121">
        <f>IF(AND(ISBLANK(C177),ISBLANK(E177)),1,2)</f>
        <v>1</v>
      </c>
      <c r="AN177" s="121">
        <f>IF(ISBLANK(E177),1,2)</f>
        <v>1</v>
      </c>
      <c r="AO177" s="121">
        <f>IF(ISBLANK(C177),1,2)</f>
        <v>1</v>
      </c>
      <c r="AP177" s="121">
        <f>IF(ISBLANK(E177),0,1)</f>
        <v>0</v>
      </c>
    </row>
    <row r="178" spans="1:42" ht="4.95" customHeight="1" x14ac:dyDescent="0.3"/>
    <row r="179" spans="1:42" ht="15" customHeight="1" x14ac:dyDescent="0.3">
      <c r="C179" s="70"/>
      <c r="E179" s="70"/>
      <c r="G179" s="39" t="s">
        <v>458</v>
      </c>
      <c r="Y179" s="187"/>
      <c r="Z179" s="187"/>
      <c r="AC179" s="219"/>
      <c r="AD179" s="219"/>
      <c r="AE179" s="219"/>
      <c r="AF179" s="219"/>
      <c r="AG179" s="219"/>
      <c r="AH179" s="219"/>
      <c r="AI179" s="219"/>
      <c r="AM179" s="121">
        <f>IF(AND(ISBLANK(C179),ISBLANK(E179)),1,2)</f>
        <v>1</v>
      </c>
      <c r="AN179" s="121">
        <f>IF(ISBLANK(E179),1,2)</f>
        <v>1</v>
      </c>
      <c r="AO179" s="121">
        <f>IF(ISBLANK(C179),1,2)</f>
        <v>1</v>
      </c>
      <c r="AP179" s="121">
        <f>IF(ISBLANK(E179),0,1)</f>
        <v>0</v>
      </c>
    </row>
    <row r="180" spans="1:42" ht="4.95" customHeight="1" x14ac:dyDescent="0.3"/>
    <row r="181" spans="1:42" ht="15" customHeight="1" x14ac:dyDescent="0.3">
      <c r="C181" s="70"/>
      <c r="E181" s="70"/>
      <c r="G181" s="39" t="s">
        <v>459</v>
      </c>
      <c r="Y181" s="187"/>
      <c r="Z181" s="187"/>
      <c r="AC181" s="219"/>
      <c r="AD181" s="219"/>
      <c r="AE181" s="219"/>
      <c r="AF181" s="219"/>
      <c r="AG181" s="219"/>
      <c r="AH181" s="219"/>
      <c r="AI181" s="219"/>
      <c r="AM181" s="121">
        <f>IF(AND(ISBLANK(C181),ISBLANK(E181)),1,2)</f>
        <v>1</v>
      </c>
      <c r="AN181" s="121">
        <f>IF(ISBLANK(E181),1,2)</f>
        <v>1</v>
      </c>
      <c r="AO181" s="121">
        <f>IF(ISBLANK(C181),1,2)</f>
        <v>1</v>
      </c>
      <c r="AP181" s="121">
        <f>IF(ISBLANK(E181),0,1)</f>
        <v>0</v>
      </c>
    </row>
    <row r="182" spans="1:42" ht="4.95" customHeight="1" x14ac:dyDescent="0.3">
      <c r="C182" s="47"/>
      <c r="E182" s="2"/>
      <c r="J182" s="47"/>
      <c r="K182" s="46"/>
      <c r="L182" s="46"/>
      <c r="M182" s="46"/>
      <c r="N182" s="46"/>
      <c r="O182" s="46"/>
      <c r="X182" s="46"/>
      <c r="Y182" s="46"/>
      <c r="Z182" s="46"/>
      <c r="AA182" s="46"/>
      <c r="AB182" s="46"/>
      <c r="AC182" s="46"/>
      <c r="AD182" s="46"/>
      <c r="AE182" s="46"/>
      <c r="AF182" s="46"/>
      <c r="AG182" s="46"/>
      <c r="AH182" s="46"/>
      <c r="AI182" s="46"/>
      <c r="AJ182" s="46"/>
      <c r="AK182" s="46"/>
      <c r="AM182" s="13"/>
      <c r="AN182" s="13"/>
    </row>
    <row r="183" spans="1:42" ht="15" customHeight="1" x14ac:dyDescent="0.3">
      <c r="C183" s="70"/>
      <c r="E183" s="70"/>
      <c r="G183" s="39" t="s">
        <v>461</v>
      </c>
      <c r="Y183" s="187"/>
      <c r="Z183" s="187"/>
      <c r="AC183" s="219"/>
      <c r="AD183" s="219"/>
      <c r="AE183" s="219"/>
      <c r="AF183" s="219"/>
      <c r="AG183" s="219"/>
      <c r="AH183" s="219"/>
      <c r="AI183" s="219"/>
      <c r="AM183" s="121">
        <f>IF(AND(ISBLANK(C183),ISBLANK(E183)),1,2)</f>
        <v>1</v>
      </c>
      <c r="AN183" s="121">
        <f>IF(ISBLANK(E183),1,2)</f>
        <v>1</v>
      </c>
      <c r="AO183" s="121">
        <f>IF(ISBLANK(C183),1,2)</f>
        <v>1</v>
      </c>
      <c r="AP183" s="121">
        <f>IF(ISBLANK(E183),0,1)</f>
        <v>0</v>
      </c>
    </row>
    <row r="184" spans="1:42" ht="4.95" customHeight="1" x14ac:dyDescent="0.3">
      <c r="I184" s="47"/>
      <c r="J184" s="2"/>
      <c r="K184" s="2"/>
      <c r="L184" s="2"/>
      <c r="M184" s="47"/>
      <c r="N184" s="46"/>
      <c r="O184" s="46"/>
      <c r="X184" s="46"/>
      <c r="Y184" s="46"/>
      <c r="Z184" s="46"/>
      <c r="AA184" s="46"/>
      <c r="AB184" s="46"/>
      <c r="AC184" s="46"/>
      <c r="AD184" s="46"/>
      <c r="AE184" s="46"/>
      <c r="AF184" s="46"/>
      <c r="AG184" s="46"/>
      <c r="AH184" s="46"/>
      <c r="AI184" s="46"/>
      <c r="AM184" s="13"/>
      <c r="AN184" s="13"/>
    </row>
    <row r="185" spans="1:42" ht="15" customHeight="1" x14ac:dyDescent="0.3">
      <c r="C185" s="70"/>
      <c r="E185" s="70"/>
      <c r="G185" s="39" t="s">
        <v>462</v>
      </c>
      <c r="I185" s="47"/>
      <c r="J185" s="2"/>
      <c r="K185" s="2"/>
      <c r="L185" s="2"/>
      <c r="M185" s="47"/>
      <c r="N185" s="46"/>
      <c r="O185" s="46"/>
      <c r="X185" s="46"/>
      <c r="Y185" s="187"/>
      <c r="Z185" s="187"/>
      <c r="AC185" s="219"/>
      <c r="AD185" s="219"/>
      <c r="AE185" s="219"/>
      <c r="AF185" s="219"/>
      <c r="AG185" s="219"/>
      <c r="AH185" s="219"/>
      <c r="AI185" s="219"/>
      <c r="AM185" s="121">
        <f>IF(AND(ISBLANK(C185),ISBLANK(E185)),1,2)</f>
        <v>1</v>
      </c>
      <c r="AN185" s="121">
        <f>IF(ISBLANK(E185),1,2)</f>
        <v>1</v>
      </c>
      <c r="AO185" s="121">
        <f>IF(ISBLANK(C185),1,2)</f>
        <v>1</v>
      </c>
      <c r="AP185" s="121">
        <f>IF(ISBLANK(E185),0,1)</f>
        <v>0</v>
      </c>
    </row>
    <row r="186" spans="1:42" ht="4.95" customHeight="1" x14ac:dyDescent="0.3">
      <c r="I186" s="47"/>
      <c r="J186" s="2"/>
      <c r="K186" s="2"/>
      <c r="L186" s="2"/>
      <c r="M186" s="47"/>
      <c r="N186" s="46"/>
      <c r="O186" s="46"/>
      <c r="X186" s="46"/>
      <c r="Y186" s="46"/>
      <c r="Z186" s="46"/>
      <c r="AA186" s="46"/>
      <c r="AB186" s="46"/>
      <c r="AC186" s="46"/>
      <c r="AD186" s="46"/>
      <c r="AE186" s="46"/>
      <c r="AF186" s="46"/>
      <c r="AG186" s="46"/>
      <c r="AH186" s="46"/>
      <c r="AI186" s="46"/>
      <c r="AM186" s="13"/>
      <c r="AN186" s="13"/>
    </row>
    <row r="187" spans="1:42" ht="15" customHeight="1" x14ac:dyDescent="0.3">
      <c r="C187" s="70"/>
      <c r="E187" s="70"/>
      <c r="G187" s="39" t="s">
        <v>455</v>
      </c>
      <c r="Y187" s="187"/>
      <c r="Z187" s="187"/>
      <c r="AC187" s="219"/>
      <c r="AD187" s="219"/>
      <c r="AE187" s="219"/>
      <c r="AF187" s="219"/>
      <c r="AG187" s="219"/>
      <c r="AH187" s="219"/>
      <c r="AI187" s="219"/>
      <c r="AM187" s="121">
        <f>IF(AND(ISBLANK(C187),ISBLANK(E187)),1,2)</f>
        <v>1</v>
      </c>
      <c r="AN187" s="121">
        <f>IF(ISBLANK(E187),1,2)</f>
        <v>1</v>
      </c>
      <c r="AO187" s="121">
        <f>IF(ISBLANK(C187),1,2)</f>
        <v>1</v>
      </c>
      <c r="AP187" s="121">
        <f>IF(ISBLANK(E187),0,1)</f>
        <v>0</v>
      </c>
    </row>
    <row r="188" spans="1:42" ht="4.95" customHeight="1" x14ac:dyDescent="0.3">
      <c r="I188" s="47"/>
      <c r="J188" s="2"/>
      <c r="K188" s="2"/>
      <c r="L188" s="2"/>
      <c r="M188" s="47"/>
      <c r="N188" s="46"/>
      <c r="O188" s="46"/>
      <c r="P188" s="46"/>
      <c r="Q188" s="46"/>
      <c r="R188" s="46"/>
      <c r="S188" s="46"/>
      <c r="T188" s="46"/>
      <c r="U188" s="46"/>
      <c r="V188" s="46"/>
      <c r="W188" s="46"/>
      <c r="X188" s="46"/>
      <c r="Y188" s="46"/>
      <c r="Z188" s="46"/>
      <c r="AA188" s="46"/>
      <c r="AB188" s="46"/>
      <c r="AC188" s="46"/>
      <c r="AM188" s="13"/>
      <c r="AN188" s="13"/>
    </row>
    <row r="189" spans="1:42" ht="15" customHeight="1" x14ac:dyDescent="0.3">
      <c r="C189" s="70"/>
      <c r="E189" s="70"/>
      <c r="G189" s="39" t="s">
        <v>456</v>
      </c>
      <c r="I189" s="47"/>
      <c r="J189" s="2"/>
      <c r="K189" s="2"/>
      <c r="L189" s="2"/>
      <c r="M189" s="47"/>
      <c r="N189" s="46"/>
      <c r="O189" s="46"/>
      <c r="P189" s="46"/>
      <c r="Q189" s="46"/>
      <c r="R189" s="46"/>
      <c r="S189" s="46"/>
      <c r="T189" s="46"/>
      <c r="U189" s="46"/>
      <c r="V189" s="46"/>
      <c r="W189" s="46"/>
      <c r="X189" s="46"/>
      <c r="Y189" s="187"/>
      <c r="Z189" s="187"/>
      <c r="AC189" s="219"/>
      <c r="AD189" s="219"/>
      <c r="AE189" s="219"/>
      <c r="AF189" s="219"/>
      <c r="AG189" s="219"/>
      <c r="AH189" s="219"/>
      <c r="AI189" s="219"/>
      <c r="AM189" s="121">
        <f>IF(AND(ISBLANK(C189),ISBLANK(E189)),1,2)</f>
        <v>1</v>
      </c>
      <c r="AN189" s="121">
        <f>IF(ISBLANK(E189),1,2)</f>
        <v>1</v>
      </c>
      <c r="AO189" s="121">
        <f>IF(ISBLANK(C189),1,2)</f>
        <v>1</v>
      </c>
      <c r="AP189" s="121">
        <f>IF(ISBLANK(E189),0,1)</f>
        <v>0</v>
      </c>
    </row>
    <row r="190" spans="1:42" ht="15" customHeight="1" x14ac:dyDescent="0.3">
      <c r="AK190" s="41"/>
    </row>
    <row r="191" spans="1:42" ht="15" customHeight="1" x14ac:dyDescent="0.3">
      <c r="A191" s="51" t="s">
        <v>89</v>
      </c>
      <c r="B191" s="71"/>
      <c r="C191" s="71"/>
      <c r="D191" s="71"/>
      <c r="E191" s="71"/>
      <c r="F191" s="71"/>
      <c r="G191" s="71"/>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3"/>
      <c r="AM191" s="23" t="s">
        <v>360</v>
      </c>
    </row>
    <row r="192" spans="1:42" ht="15" customHeight="1" x14ac:dyDescent="0.3">
      <c r="A192" s="54"/>
      <c r="B192" s="8"/>
      <c r="C192" s="8"/>
      <c r="D192" s="8"/>
      <c r="E192" s="8"/>
      <c r="F192" s="8"/>
      <c r="G192" s="8"/>
      <c r="H192" s="8"/>
      <c r="I192" s="8"/>
      <c r="J192" s="55" t="s">
        <v>90</v>
      </c>
      <c r="K192" s="55"/>
      <c r="L192" s="56" t="s">
        <v>199</v>
      </c>
      <c r="M192" s="55"/>
      <c r="N192" s="56"/>
      <c r="O192" s="56"/>
      <c r="P192" s="56"/>
      <c r="Q192" s="8"/>
      <c r="R192" s="8"/>
      <c r="S192" s="8"/>
      <c r="T192" s="8"/>
      <c r="U192" s="8"/>
      <c r="V192" s="8"/>
      <c r="W192" s="8"/>
      <c r="X192" s="8"/>
      <c r="Y192" s="8"/>
      <c r="Z192" s="8"/>
      <c r="AA192" s="8"/>
      <c r="AB192" s="8"/>
      <c r="AC192" s="8"/>
      <c r="AD192" s="8"/>
      <c r="AE192" s="8"/>
      <c r="AF192" s="8"/>
      <c r="AG192" s="8"/>
      <c r="AH192" s="8"/>
      <c r="AI192" s="8"/>
      <c r="AJ192" s="8"/>
      <c r="AK192" s="8"/>
      <c r="AL192" s="57"/>
      <c r="AM192" s="121">
        <f>SUM(AM194:AM216)</f>
        <v>13</v>
      </c>
    </row>
    <row r="193" spans="1:39" ht="15" customHeight="1" x14ac:dyDescent="0.3">
      <c r="A193" s="54"/>
      <c r="B193" s="8"/>
      <c r="C193" s="8"/>
      <c r="D193" s="8"/>
      <c r="E193" s="8"/>
      <c r="F193" s="8"/>
      <c r="G193" s="8"/>
      <c r="H193" s="8"/>
      <c r="I193" s="8"/>
      <c r="J193" s="9" t="s">
        <v>361</v>
      </c>
      <c r="K193" s="55"/>
      <c r="L193" s="8" t="str">
        <f>IF(ISBLANK(AF14),Tables!G16,"")</f>
        <v>ENG No. has not been provided</v>
      </c>
      <c r="M193" s="55"/>
      <c r="N193" s="56"/>
      <c r="O193" s="56"/>
      <c r="P193" s="56"/>
      <c r="Q193" s="8"/>
      <c r="R193" s="8"/>
      <c r="S193" s="8"/>
      <c r="T193" s="8"/>
      <c r="U193" s="8"/>
      <c r="V193" s="8"/>
      <c r="W193" s="8"/>
      <c r="X193" s="8"/>
      <c r="Y193" s="8"/>
      <c r="Z193" s="8"/>
      <c r="AA193" s="8"/>
      <c r="AB193" s="8"/>
      <c r="AC193" s="8"/>
      <c r="AD193" s="8"/>
      <c r="AE193" s="8"/>
      <c r="AF193" s="8"/>
      <c r="AG193" s="8"/>
      <c r="AH193" s="8"/>
      <c r="AI193" s="8"/>
      <c r="AJ193" s="8"/>
      <c r="AK193" s="8"/>
      <c r="AL193" s="57"/>
      <c r="AM193" s="121"/>
    </row>
    <row r="194" spans="1:39" ht="15" customHeight="1" x14ac:dyDescent="0.3">
      <c r="A194" s="54"/>
      <c r="B194" s="8"/>
      <c r="C194" s="8"/>
      <c r="D194" s="8"/>
      <c r="E194" s="8"/>
      <c r="F194" s="8"/>
      <c r="G194" s="8"/>
      <c r="H194" s="8"/>
      <c r="I194" s="8"/>
      <c r="J194" s="124" t="s">
        <v>296</v>
      </c>
      <c r="K194" s="9"/>
      <c r="L194" s="8"/>
      <c r="M194" s="9"/>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57"/>
      <c r="AM194" s="121">
        <f>IF(L194="",0,1)</f>
        <v>0</v>
      </c>
    </row>
    <row r="195" spans="1:39" ht="15" customHeight="1" x14ac:dyDescent="0.3">
      <c r="A195" s="54"/>
      <c r="B195" s="8"/>
      <c r="C195" s="8"/>
      <c r="D195" s="8"/>
      <c r="E195" s="8"/>
      <c r="F195" s="8"/>
      <c r="G195" s="8"/>
      <c r="H195" s="8"/>
      <c r="I195" s="8"/>
      <c r="J195" s="9" t="s">
        <v>302</v>
      </c>
      <c r="K195" s="9"/>
      <c r="L195" s="8" t="str">
        <f>IF(ISBLANK(AH66),Tables!G13,IF(AH66&gt;96,Tables!G13,""))</f>
        <v>Drain time exceeds the recommended 96 hours</v>
      </c>
      <c r="M195" s="9"/>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57"/>
      <c r="AM195" s="121">
        <f t="shared" ref="AM195:AM214" si="12">IF(L195="",0,1)</f>
        <v>1</v>
      </c>
    </row>
    <row r="196" spans="1:39" ht="15" customHeight="1" x14ac:dyDescent="0.3">
      <c r="A196" s="54"/>
      <c r="B196" s="8"/>
      <c r="C196" s="8"/>
      <c r="D196" s="8"/>
      <c r="E196" s="8"/>
      <c r="F196" s="8"/>
      <c r="G196" s="8"/>
      <c r="H196" s="8"/>
      <c r="I196" s="8"/>
      <c r="J196" s="9" t="s">
        <v>303</v>
      </c>
      <c r="K196" s="9"/>
      <c r="L196" s="8" t="str">
        <f>IF(ISBLANK(AH67),Tables!G14,IF(AH67&gt;12,Tables!G14,""))</f>
        <v>Drain time exceeds the recommended 12 hours</v>
      </c>
      <c r="M196" s="9"/>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57"/>
      <c r="AM196" s="121">
        <f t="shared" si="12"/>
        <v>1</v>
      </c>
    </row>
    <row r="197" spans="1:39" ht="15" customHeight="1" x14ac:dyDescent="0.3">
      <c r="A197" s="54"/>
      <c r="B197" s="8"/>
      <c r="C197" s="8"/>
      <c r="D197" s="8"/>
      <c r="E197" s="8"/>
      <c r="F197" s="8"/>
      <c r="G197" s="8"/>
      <c r="H197" s="8"/>
      <c r="I197" s="8"/>
      <c r="J197" s="9" t="s">
        <v>93</v>
      </c>
      <c r="K197" s="9"/>
      <c r="L197" s="8" t="str">
        <f>IF(AP69&gt;1,Tables!G4,IF(AP69=0,"",IF(AP71&lt;6,Tables!G4,"")))</f>
        <v>Emergency Spillway Section not completed</v>
      </c>
      <c r="M197" s="9"/>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57"/>
      <c r="AM197" s="121">
        <f t="shared" si="12"/>
        <v>1</v>
      </c>
    </row>
    <row r="198" spans="1:39" ht="15" customHeight="1" x14ac:dyDescent="0.3">
      <c r="A198" s="54"/>
      <c r="B198" s="8"/>
      <c r="C198" s="8"/>
      <c r="D198" s="8"/>
      <c r="E198" s="8"/>
      <c r="F198" s="8"/>
      <c r="G198" s="8"/>
      <c r="H198" s="8"/>
      <c r="I198" s="8"/>
      <c r="J198" s="9" t="s">
        <v>117</v>
      </c>
      <c r="K198" s="9"/>
      <c r="L198" s="8" t="str">
        <f>IF(AP77&lt;2,Tables!G8,"")</f>
        <v>Latitude and/or Longitude not provided</v>
      </c>
      <c r="M198" s="9"/>
      <c r="N198" s="9"/>
      <c r="O198" s="8"/>
      <c r="P198" s="8"/>
      <c r="Q198" s="8"/>
      <c r="R198" s="8"/>
      <c r="S198" s="8"/>
      <c r="T198" s="8"/>
      <c r="U198" s="8"/>
      <c r="V198" s="8"/>
      <c r="W198" s="8"/>
      <c r="X198" s="8"/>
      <c r="Y198" s="8"/>
      <c r="Z198" s="8"/>
      <c r="AA198" s="8"/>
      <c r="AB198" s="8"/>
      <c r="AC198" s="8"/>
      <c r="AD198" s="8"/>
      <c r="AE198" s="8"/>
      <c r="AF198" s="8"/>
      <c r="AG198" s="8"/>
      <c r="AH198" s="8"/>
      <c r="AI198" s="8"/>
      <c r="AJ198" s="8"/>
      <c r="AK198" s="8"/>
      <c r="AL198" s="57"/>
      <c r="AM198" s="121">
        <f t="shared" si="12"/>
        <v>1</v>
      </c>
    </row>
    <row r="199" spans="1:39" ht="15" customHeight="1" x14ac:dyDescent="0.3">
      <c r="A199" s="54"/>
      <c r="B199" s="8"/>
      <c r="C199" s="8"/>
      <c r="D199" s="8"/>
      <c r="E199" s="8"/>
      <c r="F199" s="8"/>
      <c r="G199" s="8"/>
      <c r="H199" s="8"/>
      <c r="I199" s="8"/>
      <c r="J199" s="9" t="s">
        <v>157</v>
      </c>
      <c r="K199" s="9"/>
      <c r="L199" s="8" t="str">
        <f>IF(AN83=2,Tables!G9,IF(AN81=1,"",Tables!G9))</f>
        <v>WQv Required &gt; WQv Provided</v>
      </c>
      <c r="M199" s="9"/>
      <c r="N199" s="9"/>
      <c r="O199" s="8"/>
      <c r="P199" s="8"/>
      <c r="Q199" s="8"/>
      <c r="R199" s="8"/>
      <c r="S199" s="8"/>
      <c r="T199" s="8"/>
      <c r="U199" s="8"/>
      <c r="V199" s="8"/>
      <c r="W199" s="8"/>
      <c r="X199" s="8"/>
      <c r="Y199" s="8"/>
      <c r="Z199" s="8"/>
      <c r="AA199" s="8"/>
      <c r="AB199" s="8"/>
      <c r="AC199" s="8"/>
      <c r="AD199" s="8"/>
      <c r="AE199" s="8"/>
      <c r="AF199" s="8"/>
      <c r="AG199" s="8"/>
      <c r="AH199" s="8"/>
      <c r="AI199" s="8"/>
      <c r="AJ199" s="8"/>
      <c r="AK199" s="8"/>
      <c r="AL199" s="57"/>
      <c r="AM199" s="121">
        <f t="shared" si="12"/>
        <v>1</v>
      </c>
    </row>
    <row r="200" spans="1:39" ht="15" customHeight="1" x14ac:dyDescent="0.3">
      <c r="A200" s="58"/>
      <c r="B200" s="59"/>
      <c r="C200" s="59"/>
      <c r="D200" s="59"/>
      <c r="E200" s="59"/>
      <c r="F200" s="59"/>
      <c r="G200" s="59"/>
      <c r="H200" s="59"/>
      <c r="I200" s="59"/>
      <c r="J200" s="60"/>
      <c r="K200" s="60"/>
      <c r="L200" s="59"/>
      <c r="M200" s="60"/>
      <c r="N200" s="60"/>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61"/>
      <c r="AM200" s="121"/>
    </row>
    <row r="201" spans="1:39" ht="15" customHeight="1" x14ac:dyDescent="0.3">
      <c r="AK201" s="41"/>
    </row>
    <row r="202" spans="1:39" ht="15" customHeight="1" x14ac:dyDescent="0.3">
      <c r="B202" s="166">
        <f>Tables!$C$13</f>
        <v>45566</v>
      </c>
      <c r="C202" s="166"/>
      <c r="D202" s="166"/>
      <c r="E202" s="166"/>
      <c r="F202" s="166"/>
      <c r="G202" s="166"/>
      <c r="H202" s="166"/>
      <c r="R202" s="167" t="s">
        <v>467</v>
      </c>
      <c r="S202" s="167"/>
      <c r="T202" s="167"/>
      <c r="U202" s="167"/>
      <c r="AK202" s="41"/>
    </row>
    <row r="203" spans="1:39" ht="15" customHeight="1" x14ac:dyDescent="0.3"/>
    <row r="204" spans="1:39" ht="15" customHeight="1" x14ac:dyDescent="0.3">
      <c r="C204" s="2" t="s">
        <v>1</v>
      </c>
      <c r="D204" s="169">
        <f>IF(ISBLANK($E$15),"",$E$15)</f>
        <v>0</v>
      </c>
      <c r="E204" s="169"/>
      <c r="F204" s="169"/>
      <c r="G204" s="169"/>
      <c r="H204" s="169"/>
      <c r="I204" s="169"/>
      <c r="J204" s="169"/>
      <c r="K204" s="169"/>
      <c r="L204" s="169"/>
      <c r="M204" s="169"/>
      <c r="N204" s="169"/>
      <c r="O204" s="169"/>
      <c r="P204" s="169"/>
      <c r="Q204" s="169"/>
      <c r="R204" s="169"/>
      <c r="S204" s="169"/>
      <c r="T204" s="169"/>
      <c r="U204" s="169"/>
      <c r="V204" s="169"/>
      <c r="W204" s="169"/>
      <c r="X204" s="169"/>
      <c r="Y204" s="169"/>
      <c r="Z204" s="169"/>
      <c r="AA204" s="46"/>
      <c r="AB204" s="46"/>
      <c r="AC204" s="46"/>
      <c r="AF204" s="2" t="s">
        <v>21</v>
      </c>
      <c r="AG204" s="170">
        <f>$AF$15</f>
        <v>0</v>
      </c>
      <c r="AH204" s="170"/>
      <c r="AI204" s="170"/>
      <c r="AJ204" s="170"/>
      <c r="AK204" s="170"/>
    </row>
    <row r="205" spans="1:39" ht="15" customHeight="1" x14ac:dyDescent="0.3">
      <c r="H205" s="47"/>
      <c r="I205" s="47"/>
      <c r="J205" s="2"/>
      <c r="K205" s="2"/>
      <c r="L205" s="2"/>
      <c r="M205" s="47"/>
      <c r="N205" s="46"/>
      <c r="O205" s="46"/>
      <c r="P205" s="46"/>
      <c r="Q205" s="46"/>
      <c r="R205" s="46"/>
      <c r="S205" s="46"/>
      <c r="T205" s="46"/>
      <c r="U205" s="46"/>
      <c r="V205" s="46"/>
      <c r="W205" s="46"/>
      <c r="X205" s="46"/>
      <c r="Y205" s="46"/>
      <c r="Z205" s="46"/>
      <c r="AA205" s="46"/>
      <c r="AB205" s="46"/>
      <c r="AC205" s="46"/>
      <c r="AF205" s="2" t="s">
        <v>35</v>
      </c>
      <c r="AG205" s="220">
        <f>IF(ISBLANK($AF$16),"",$AF$16)</f>
        <v>0</v>
      </c>
      <c r="AH205" s="220"/>
      <c r="AI205" s="220"/>
      <c r="AJ205" s="220"/>
      <c r="AK205" s="220"/>
    </row>
    <row r="206" spans="1:39" ht="15" customHeight="1" x14ac:dyDescent="0.3">
      <c r="A206" s="103"/>
      <c r="B206" s="103"/>
      <c r="C206" s="103"/>
      <c r="D206" s="103"/>
      <c r="E206" s="103"/>
      <c r="F206" s="103"/>
      <c r="G206" s="103"/>
      <c r="H206" s="103"/>
      <c r="I206" s="103"/>
      <c r="J206" s="144"/>
      <c r="K206" s="144"/>
      <c r="L206" s="103"/>
      <c r="M206" s="144"/>
      <c r="N206" s="144"/>
      <c r="O206" s="103"/>
      <c r="P206" s="103"/>
      <c r="Q206" s="103"/>
      <c r="R206" s="103"/>
      <c r="S206" s="103"/>
      <c r="T206" s="103"/>
      <c r="U206" s="103"/>
      <c r="V206" s="103"/>
      <c r="W206" s="103"/>
      <c r="X206" s="103"/>
      <c r="Y206" s="103"/>
      <c r="Z206" s="103"/>
      <c r="AA206" s="103"/>
      <c r="AB206" s="103"/>
      <c r="AC206" s="103"/>
      <c r="AD206" s="103"/>
      <c r="AE206" s="103"/>
      <c r="AF206" s="103"/>
      <c r="AG206" s="103"/>
      <c r="AH206" s="103"/>
      <c r="AI206" s="103"/>
      <c r="AJ206" s="103"/>
      <c r="AK206" s="103"/>
      <c r="AL206" s="103"/>
    </row>
    <row r="207" spans="1:39" ht="15" customHeight="1" x14ac:dyDescent="0.3">
      <c r="A207" s="51" t="s">
        <v>463</v>
      </c>
      <c r="B207" s="71"/>
      <c r="C207" s="71"/>
      <c r="D207" s="71"/>
      <c r="E207" s="71"/>
      <c r="F207" s="71"/>
      <c r="G207" s="71"/>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3"/>
      <c r="AM207" s="121"/>
    </row>
    <row r="208" spans="1:39" ht="15" customHeight="1" x14ac:dyDescent="0.3">
      <c r="A208" s="54"/>
      <c r="B208" s="8"/>
      <c r="C208" s="8"/>
      <c r="D208" s="8"/>
      <c r="E208" s="8"/>
      <c r="F208" s="8"/>
      <c r="G208" s="8"/>
      <c r="H208" s="8"/>
      <c r="I208" s="8"/>
      <c r="J208" s="124" t="s">
        <v>227</v>
      </c>
      <c r="K208" s="9"/>
      <c r="L208" s="8"/>
      <c r="M208" s="9"/>
      <c r="N208" s="9"/>
      <c r="O208" s="8"/>
      <c r="P208" s="8"/>
      <c r="Q208" s="8"/>
      <c r="R208" s="8"/>
      <c r="S208" s="8"/>
      <c r="T208" s="8"/>
      <c r="U208" s="8"/>
      <c r="V208" s="8"/>
      <c r="W208" s="8"/>
      <c r="X208" s="8"/>
      <c r="Y208" s="8"/>
      <c r="Z208" s="8"/>
      <c r="AA208" s="8"/>
      <c r="AB208" s="8"/>
      <c r="AC208" s="8"/>
      <c r="AD208" s="8"/>
      <c r="AE208" s="8"/>
      <c r="AF208" s="8"/>
      <c r="AG208" s="8"/>
      <c r="AH208" s="8"/>
      <c r="AI208" s="8"/>
      <c r="AJ208" s="8"/>
      <c r="AK208" s="8"/>
      <c r="AL208" s="57"/>
      <c r="AM208" s="121">
        <f t="shared" si="12"/>
        <v>0</v>
      </c>
    </row>
    <row r="209" spans="1:39" ht="15" customHeight="1" x14ac:dyDescent="0.3">
      <c r="A209" s="54"/>
      <c r="B209" s="8"/>
      <c r="C209" s="8"/>
      <c r="D209" s="8"/>
      <c r="E209" s="8"/>
      <c r="F209" s="8"/>
      <c r="G209" s="8"/>
      <c r="H209" s="8"/>
      <c r="I209" s="8"/>
      <c r="J209" s="9" t="s">
        <v>162</v>
      </c>
      <c r="K209" s="9"/>
      <c r="L209" s="8" t="str">
        <f>IF(AM122&gt;0,Tables!G10,"")</f>
        <v>As-Built does not match Design, provide a reson in the Comments section</v>
      </c>
      <c r="M209" s="9"/>
      <c r="N209" s="9"/>
      <c r="O209" s="8"/>
      <c r="P209" s="8"/>
      <c r="Q209" s="8"/>
      <c r="R209" s="8"/>
      <c r="S209" s="8"/>
      <c r="T209" s="8"/>
      <c r="U209" s="8"/>
      <c r="V209" s="8"/>
      <c r="W209" s="8"/>
      <c r="X209" s="8"/>
      <c r="Y209" s="8"/>
      <c r="Z209" s="8"/>
      <c r="AA209" s="8"/>
      <c r="AB209" s="8"/>
      <c r="AC209" s="8"/>
      <c r="AD209" s="8"/>
      <c r="AE209" s="8"/>
      <c r="AF209" s="8"/>
      <c r="AG209" s="8"/>
      <c r="AH209" s="8"/>
      <c r="AI209" s="8"/>
      <c r="AJ209" s="8"/>
      <c r="AK209" s="8"/>
      <c r="AL209" s="57"/>
      <c r="AM209" s="121">
        <f t="shared" si="12"/>
        <v>1</v>
      </c>
    </row>
    <row r="210" spans="1:39" ht="15" customHeight="1" x14ac:dyDescent="0.3">
      <c r="A210" s="54"/>
      <c r="B210" s="8"/>
      <c r="C210" s="8"/>
      <c r="D210" s="8"/>
      <c r="E210" s="8"/>
      <c r="F210" s="8"/>
      <c r="G210" s="8"/>
      <c r="H210" s="8"/>
      <c r="I210" s="8"/>
      <c r="J210" s="9" t="s">
        <v>305</v>
      </c>
      <c r="K210" s="9"/>
      <c r="L210" s="8" t="str">
        <f>IF(AN122&gt;0,Tables!G10,"")</f>
        <v>As-Built does not match Design, provide a reson in the Comments section</v>
      </c>
      <c r="M210" s="9"/>
      <c r="N210" s="9"/>
      <c r="O210" s="8"/>
      <c r="P210" s="8"/>
      <c r="Q210" s="8"/>
      <c r="R210" s="8"/>
      <c r="S210" s="8"/>
      <c r="T210" s="8"/>
      <c r="U210" s="8"/>
      <c r="V210" s="8"/>
      <c r="W210" s="8"/>
      <c r="X210" s="8"/>
      <c r="Y210" s="8"/>
      <c r="Z210" s="8"/>
      <c r="AA210" s="8"/>
      <c r="AB210" s="8"/>
      <c r="AC210" s="8"/>
      <c r="AD210" s="8"/>
      <c r="AE210" s="8"/>
      <c r="AF210" s="8"/>
      <c r="AG210" s="8"/>
      <c r="AH210" s="8"/>
      <c r="AI210" s="8"/>
      <c r="AJ210" s="8"/>
      <c r="AK210" s="8"/>
      <c r="AL210" s="57"/>
      <c r="AM210" s="121">
        <f t="shared" si="12"/>
        <v>1</v>
      </c>
    </row>
    <row r="211" spans="1:39" ht="15" customHeight="1" x14ac:dyDescent="0.3">
      <c r="A211" s="54"/>
      <c r="B211" s="8"/>
      <c r="C211" s="8"/>
      <c r="D211" s="8"/>
      <c r="E211" s="8"/>
      <c r="F211" s="8"/>
      <c r="G211" s="8"/>
      <c r="H211" s="8"/>
      <c r="I211" s="8"/>
      <c r="J211" s="9" t="s">
        <v>88</v>
      </c>
      <c r="K211" s="9"/>
      <c r="L211" s="8" t="str">
        <f>IF(AO122=0,"",Tables!G7)</f>
        <v>Max Stage for 2, 5, 10, and/or 25-year storm  &gt; Emergency Spillway Crest Elevation</v>
      </c>
      <c r="M211" s="9"/>
      <c r="N211" s="9"/>
      <c r="O211" s="8"/>
      <c r="P211" s="8"/>
      <c r="Q211" s="8"/>
      <c r="R211" s="8"/>
      <c r="S211" s="8"/>
      <c r="T211" s="8"/>
      <c r="U211" s="8"/>
      <c r="V211" s="8"/>
      <c r="W211" s="8"/>
      <c r="X211" s="8"/>
      <c r="Y211" s="8"/>
      <c r="Z211" s="8"/>
      <c r="AA211" s="8"/>
      <c r="AB211" s="8"/>
      <c r="AC211" s="8"/>
      <c r="AD211" s="8"/>
      <c r="AE211" s="8"/>
      <c r="AF211" s="8"/>
      <c r="AG211" s="8"/>
      <c r="AH211" s="8"/>
      <c r="AI211" s="8"/>
      <c r="AJ211" s="8"/>
      <c r="AK211" s="8"/>
      <c r="AL211" s="57"/>
      <c r="AM211" s="121">
        <f t="shared" si="12"/>
        <v>1</v>
      </c>
    </row>
    <row r="212" spans="1:39" ht="15" customHeight="1" x14ac:dyDescent="0.3">
      <c r="A212" s="54"/>
      <c r="B212" s="8"/>
      <c r="C212" s="8"/>
      <c r="D212" s="8"/>
      <c r="E212" s="8"/>
      <c r="F212" s="8"/>
      <c r="G212" s="8"/>
      <c r="H212" s="8"/>
      <c r="I212" s="8"/>
      <c r="J212" s="9" t="s">
        <v>308</v>
      </c>
      <c r="K212" s="9"/>
      <c r="L212" s="8" t="str">
        <f>IF(AP122&gt;0,Tables!G6,"")</f>
        <v>Velocity &gt; 6 ft/s</v>
      </c>
      <c r="M212" s="9"/>
      <c r="N212" s="9"/>
      <c r="O212" s="8"/>
      <c r="P212" s="8"/>
      <c r="Q212" s="8"/>
      <c r="R212" s="8"/>
      <c r="S212" s="8"/>
      <c r="T212" s="8"/>
      <c r="U212" s="8"/>
      <c r="V212" s="8"/>
      <c r="W212" s="8"/>
      <c r="X212" s="8"/>
      <c r="Y212" s="8"/>
      <c r="Z212" s="8"/>
      <c r="AA212" s="8"/>
      <c r="AB212" s="8"/>
      <c r="AC212" s="8"/>
      <c r="AD212" s="8"/>
      <c r="AE212" s="8"/>
      <c r="AF212" s="8"/>
      <c r="AG212" s="8"/>
      <c r="AH212" s="8"/>
      <c r="AI212" s="8"/>
      <c r="AJ212" s="8"/>
      <c r="AK212" s="8"/>
      <c r="AL212" s="57"/>
      <c r="AM212" s="121">
        <f t="shared" si="12"/>
        <v>1</v>
      </c>
    </row>
    <row r="213" spans="1:39" ht="15" customHeight="1" x14ac:dyDescent="0.3">
      <c r="A213" s="54"/>
      <c r="B213" s="8"/>
      <c r="C213" s="8"/>
      <c r="D213" s="8"/>
      <c r="E213" s="8"/>
      <c r="F213" s="8"/>
      <c r="G213" s="8"/>
      <c r="H213" s="8"/>
      <c r="I213" s="8"/>
      <c r="J213" s="9" t="s">
        <v>94</v>
      </c>
      <c r="K213" s="9"/>
      <c r="L213" s="8" t="str">
        <f>IF(OR(AQ122&gt;0,AS122&gt;0),Tables!G5,"")</f>
        <v>Total Post Q &gt; Pre Q</v>
      </c>
      <c r="M213" s="9"/>
      <c r="N213" s="9"/>
      <c r="O213" s="8"/>
      <c r="P213" s="8"/>
      <c r="Q213" s="8"/>
      <c r="R213" s="8"/>
      <c r="S213" s="8"/>
      <c r="T213" s="8"/>
      <c r="U213" s="8"/>
      <c r="V213" s="8"/>
      <c r="W213" s="8"/>
      <c r="X213" s="8"/>
      <c r="Y213" s="8"/>
      <c r="Z213" s="8"/>
      <c r="AA213" s="8"/>
      <c r="AB213" s="8"/>
      <c r="AC213" s="8"/>
      <c r="AD213" s="8"/>
      <c r="AE213" s="8"/>
      <c r="AF213" s="8"/>
      <c r="AG213" s="8"/>
      <c r="AH213" s="8"/>
      <c r="AI213" s="8"/>
      <c r="AJ213" s="8"/>
      <c r="AK213" s="8"/>
      <c r="AL213" s="57"/>
      <c r="AM213" s="121">
        <f t="shared" si="12"/>
        <v>1</v>
      </c>
    </row>
    <row r="214" spans="1:39" ht="15" customHeight="1" x14ac:dyDescent="0.3">
      <c r="A214" s="54"/>
      <c r="B214" s="8"/>
      <c r="C214" s="8"/>
      <c r="D214" s="8"/>
      <c r="E214" s="8"/>
      <c r="F214" s="8"/>
      <c r="G214" s="8"/>
      <c r="H214" s="8"/>
      <c r="I214" s="8"/>
      <c r="J214" s="9"/>
      <c r="K214" s="9"/>
      <c r="L214" s="8" t="str">
        <f>IF(AND(ISBLANK('Form 2D - Design'!$C$153),ISBLANK('Form 2D - Design'!$F$153)),Tables!$G$18,IF(AND('Form 3D - As-built'!$AQ$122&gt;0,'Form 3D - As-built'!$AP$117=2),Tables!$G$18,""))</f>
        <v>Known flooding:  2, 5, 10, 25, 50, or 100-yr discharge &gt; 0-yr discharge</v>
      </c>
      <c r="M214" s="9"/>
      <c r="N214" s="9"/>
      <c r="O214" s="8"/>
      <c r="P214" s="8"/>
      <c r="Q214" s="8"/>
      <c r="R214" s="8"/>
      <c r="S214" s="8"/>
      <c r="T214" s="8"/>
      <c r="U214" s="8"/>
      <c r="V214" s="8"/>
      <c r="W214" s="8"/>
      <c r="X214" s="8"/>
      <c r="Y214" s="8"/>
      <c r="Z214" s="8"/>
      <c r="AA214" s="8"/>
      <c r="AB214" s="8"/>
      <c r="AC214" s="8"/>
      <c r="AD214" s="8"/>
      <c r="AE214" s="8"/>
      <c r="AF214" s="8"/>
      <c r="AG214" s="8"/>
      <c r="AH214" s="8"/>
      <c r="AI214" s="8"/>
      <c r="AJ214" s="8"/>
      <c r="AK214" s="8"/>
      <c r="AL214" s="57"/>
      <c r="AM214" s="121">
        <f t="shared" si="12"/>
        <v>1</v>
      </c>
    </row>
    <row r="215" spans="1:39" ht="15" customHeight="1" x14ac:dyDescent="0.3">
      <c r="A215" s="54"/>
      <c r="B215" s="8"/>
      <c r="C215" s="8"/>
      <c r="D215" s="8"/>
      <c r="E215" s="8"/>
      <c r="F215" s="8"/>
      <c r="G215" s="8"/>
      <c r="H215" s="8"/>
      <c r="I215" s="8"/>
      <c r="J215" s="9"/>
      <c r="K215" s="9"/>
      <c r="L215" s="8" t="str">
        <f>IF(AND(ISBLANK('Form 2D - Design'!$C$155),ISBLANK('Form 2D - Design'!$F$155)),Tables!$G$19,IF(AND('Form 3D - As-built'!$AQ$122&gt;0,'Form 3D - As-built'!$AP$118=2),Tables!$G$19,""))</f>
        <v>Drains to adjacent property:  2, 5, 10, 25, 50, or 100-yr discharge &gt; 0-yr discharge</v>
      </c>
      <c r="M215" s="9"/>
      <c r="N215" s="9"/>
      <c r="O215" s="8"/>
      <c r="P215" s="8"/>
      <c r="Q215" s="8"/>
      <c r="R215" s="8"/>
      <c r="S215" s="8"/>
      <c r="T215" s="8"/>
      <c r="U215" s="8"/>
      <c r="V215" s="8"/>
      <c r="W215" s="8"/>
      <c r="X215" s="8"/>
      <c r="Y215" s="8"/>
      <c r="Z215" s="8"/>
      <c r="AA215" s="8"/>
      <c r="AB215" s="8"/>
      <c r="AC215" s="8"/>
      <c r="AD215" s="8"/>
      <c r="AE215" s="8"/>
      <c r="AF215" s="8"/>
      <c r="AG215" s="8"/>
      <c r="AH215" s="8"/>
      <c r="AI215" s="8"/>
      <c r="AJ215" s="8"/>
      <c r="AK215" s="8"/>
      <c r="AL215" s="57"/>
      <c r="AM215" s="121">
        <f>IF(L215="",0,1)</f>
        <v>1</v>
      </c>
    </row>
    <row r="216" spans="1:39" ht="15" customHeight="1" x14ac:dyDescent="0.3">
      <c r="A216" s="58"/>
      <c r="B216" s="59"/>
      <c r="C216" s="59"/>
      <c r="D216" s="59"/>
      <c r="E216" s="59"/>
      <c r="F216" s="59"/>
      <c r="G216" s="59"/>
      <c r="H216" s="59"/>
      <c r="I216" s="59"/>
      <c r="J216" s="146" t="s">
        <v>470</v>
      </c>
      <c r="K216" s="60"/>
      <c r="L216" s="147" t="str">
        <f>IF(AM171=8,Tables!G20,IF(AP171&gt;0,Tables!G20,0))</f>
        <v>All required photographs are not provided</v>
      </c>
      <c r="M216" s="60"/>
      <c r="N216" s="60"/>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61"/>
      <c r="AM216" s="121">
        <f>IF(L216="",0,1)</f>
        <v>1</v>
      </c>
    </row>
    <row r="217" spans="1:39" ht="15" customHeight="1" x14ac:dyDescent="0.3"/>
    <row r="218" spans="1:39" ht="15" customHeight="1" x14ac:dyDescent="0.3"/>
    <row r="219" spans="1:39" ht="15" customHeight="1" x14ac:dyDescent="0.3"/>
    <row r="220" spans="1:39" ht="15" customHeight="1" x14ac:dyDescent="0.3"/>
    <row r="221" spans="1:39" ht="15" customHeight="1" x14ac:dyDescent="0.3"/>
    <row r="222" spans="1:39" ht="15" customHeight="1" x14ac:dyDescent="0.3"/>
    <row r="223" spans="1:39" ht="15" customHeight="1" x14ac:dyDescent="0.3"/>
    <row r="224" spans="1:39"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spans="2:37" ht="15" customHeight="1" x14ac:dyDescent="0.3"/>
    <row r="242" spans="2:37" ht="15" customHeight="1" x14ac:dyDescent="0.3"/>
    <row r="243" spans="2:37" ht="15" customHeight="1" x14ac:dyDescent="0.3"/>
    <row r="244" spans="2:37" ht="15" customHeight="1" x14ac:dyDescent="0.3"/>
    <row r="245" spans="2:37" ht="15" customHeight="1" x14ac:dyDescent="0.3"/>
    <row r="246" spans="2:37" ht="15" customHeight="1" x14ac:dyDescent="0.3">
      <c r="AK246" s="41"/>
    </row>
    <row r="247" spans="2:37" ht="15" customHeight="1" x14ac:dyDescent="0.3">
      <c r="B247" s="166">
        <f>Tables!$C$13</f>
        <v>45566</v>
      </c>
      <c r="C247" s="166"/>
      <c r="D247" s="166"/>
      <c r="E247" s="166"/>
      <c r="F247" s="166"/>
      <c r="G247" s="166"/>
      <c r="H247" s="166"/>
      <c r="R247" s="167" t="s">
        <v>468</v>
      </c>
      <c r="S247" s="167"/>
      <c r="T247" s="167"/>
      <c r="U247" s="167"/>
      <c r="AK247" s="41"/>
    </row>
    <row r="248" spans="2:37" ht="15" customHeight="1" x14ac:dyDescent="0.3"/>
    <row r="249" spans="2:37" ht="15" customHeight="1" x14ac:dyDescent="0.3"/>
    <row r="250" spans="2:37" ht="15" customHeight="1" x14ac:dyDescent="0.3"/>
  </sheetData>
  <sheetProtection algorithmName="SHA-512" hashValue="zsVAO6PCwOQp9S7ye77cIjr9rj8Bz63tRjZCwvlVMg00HYbuD0faps5BT+6JGL8g08FnoqJPTFnlvcsummymWQ==" saltValue="/GRSZc8Ptr2S/Ljujq1Q5g==" spinCount="100000" sheet="1" objects="1" scenarios="1" selectLockedCells="1"/>
  <mergeCells count="388">
    <mergeCell ref="AF6:AK6"/>
    <mergeCell ref="AG22:AI22"/>
    <mergeCell ref="B247:H247"/>
    <mergeCell ref="R247:U247"/>
    <mergeCell ref="E161:Y161"/>
    <mergeCell ref="E162:Y162"/>
    <mergeCell ref="E163:Y163"/>
    <mergeCell ref="E164:K164"/>
    <mergeCell ref="O164:R164"/>
    <mergeCell ref="W164:Y164"/>
    <mergeCell ref="E165:Y165"/>
    <mergeCell ref="E166:I166"/>
    <mergeCell ref="Y35:AB35"/>
    <mergeCell ref="AC168:AG168"/>
    <mergeCell ref="N22:P22"/>
    <mergeCell ref="Z149:AC149"/>
    <mergeCell ref="AH149:AK149"/>
    <mergeCell ref="AE150:AK150"/>
    <mergeCell ref="B61:H61"/>
    <mergeCell ref="R61:U61"/>
    <mergeCell ref="B109:H109"/>
    <mergeCell ref="R109:U109"/>
    <mergeCell ref="AC123:AF123"/>
    <mergeCell ref="M86:P86"/>
    <mergeCell ref="AG101:AJ101"/>
    <mergeCell ref="AH72:AK72"/>
    <mergeCell ref="AG98:AJ98"/>
    <mergeCell ref="AG23:AI23"/>
    <mergeCell ref="AG42:AI42"/>
    <mergeCell ref="Y49:AB49"/>
    <mergeCell ref="Y50:AA50"/>
    <mergeCell ref="Y51:AA51"/>
    <mergeCell ref="Y52:AA52"/>
    <mergeCell ref="AH49:AJ49"/>
    <mergeCell ref="AH51:AJ51"/>
    <mergeCell ref="AH52:AJ52"/>
    <mergeCell ref="AG27:AK27"/>
    <mergeCell ref="AG32:AI32"/>
    <mergeCell ref="AG31:AI31"/>
    <mergeCell ref="AG30:AI30"/>
    <mergeCell ref="AG43:AI43"/>
    <mergeCell ref="AB38:AD38"/>
    <mergeCell ref="AG38:AI38"/>
    <mergeCell ref="AB37:AD37"/>
    <mergeCell ref="AG37:AI37"/>
    <mergeCell ref="Y42:AB42"/>
    <mergeCell ref="AB32:AD32"/>
    <mergeCell ref="AB31:AD31"/>
    <mergeCell ref="AB30:AD30"/>
    <mergeCell ref="AH55:AJ55"/>
    <mergeCell ref="Y56:AA56"/>
    <mergeCell ref="Y57:AA57"/>
    <mergeCell ref="AH56:AJ56"/>
    <mergeCell ref="AC66:AE66"/>
    <mergeCell ref="AC67:AE67"/>
    <mergeCell ref="AH66:AJ66"/>
    <mergeCell ref="AH67:AJ67"/>
    <mergeCell ref="AH57:AJ57"/>
    <mergeCell ref="AA102:AD102"/>
    <mergeCell ref="V92:X92"/>
    <mergeCell ref="R153:U153"/>
    <mergeCell ref="Y55:AB55"/>
    <mergeCell ref="N114:V114"/>
    <mergeCell ref="O67:Q67"/>
    <mergeCell ref="X121:AA121"/>
    <mergeCell ref="D110:Z110"/>
    <mergeCell ref="C117:D117"/>
    <mergeCell ref="N116:Q116"/>
    <mergeCell ref="I117:L117"/>
    <mergeCell ref="S116:V116"/>
    <mergeCell ref="S117:V117"/>
    <mergeCell ref="N121:Q121"/>
    <mergeCell ref="I119:L119"/>
    <mergeCell ref="N117:Q117"/>
    <mergeCell ref="B153:H153"/>
    <mergeCell ref="J67:L67"/>
    <mergeCell ref="C127:D127"/>
    <mergeCell ref="M105:P105"/>
    <mergeCell ref="C128:D128"/>
    <mergeCell ref="Y72:AB72"/>
    <mergeCell ref="Y73:AA73"/>
    <mergeCell ref="Y74:AA74"/>
    <mergeCell ref="I37:K37"/>
    <mergeCell ref="N37:P37"/>
    <mergeCell ref="M91:P91"/>
    <mergeCell ref="M92:P92"/>
    <mergeCell ref="V104:X104"/>
    <mergeCell ref="V100:X100"/>
    <mergeCell ref="J81:L81"/>
    <mergeCell ref="F57:H57"/>
    <mergeCell ref="O56:Q56"/>
    <mergeCell ref="M102:P102"/>
    <mergeCell ref="G102:J102"/>
    <mergeCell ref="M97:P97"/>
    <mergeCell ref="V89:X89"/>
    <mergeCell ref="M89:P89"/>
    <mergeCell ref="V90:X90"/>
    <mergeCell ref="V91:X91"/>
    <mergeCell ref="V101:X101"/>
    <mergeCell ref="G90:J90"/>
    <mergeCell ref="G104:J104"/>
    <mergeCell ref="F42:I42"/>
    <mergeCell ref="O42:Q42"/>
    <mergeCell ref="V97:X97"/>
    <mergeCell ref="M101:P101"/>
    <mergeCell ref="G89:J89"/>
    <mergeCell ref="C123:D123"/>
    <mergeCell ref="F147:V147"/>
    <mergeCell ref="F148:V148"/>
    <mergeCell ref="S126:V126"/>
    <mergeCell ref="F141:V141"/>
    <mergeCell ref="B103:D103"/>
    <mergeCell ref="B104:D104"/>
    <mergeCell ref="M103:P103"/>
    <mergeCell ref="I118:L118"/>
    <mergeCell ref="F144:V144"/>
    <mergeCell ref="S115:V115"/>
    <mergeCell ref="S125:V125"/>
    <mergeCell ref="C124:D124"/>
    <mergeCell ref="C125:D125"/>
    <mergeCell ref="I128:L128"/>
    <mergeCell ref="N127:Q127"/>
    <mergeCell ref="S127:V127"/>
    <mergeCell ref="S128:V128"/>
    <mergeCell ref="F143:V143"/>
    <mergeCell ref="N118:Q118"/>
    <mergeCell ref="C118:D118"/>
    <mergeCell ref="C119:D119"/>
    <mergeCell ref="F140:V140"/>
    <mergeCell ref="N128:Q128"/>
    <mergeCell ref="Z142:AC142"/>
    <mergeCell ref="AH142:AK142"/>
    <mergeCell ref="N126:Q126"/>
    <mergeCell ref="X124:AA124"/>
    <mergeCell ref="S1:AL4"/>
    <mergeCell ref="O72:R72"/>
    <mergeCell ref="E72:H72"/>
    <mergeCell ref="I77:L77"/>
    <mergeCell ref="I78:L78"/>
    <mergeCell ref="AD77:AG77"/>
    <mergeCell ref="AD78:AG78"/>
    <mergeCell ref="AC126:AF126"/>
    <mergeCell ref="AC127:AF127"/>
    <mergeCell ref="AC128:AF128"/>
    <mergeCell ref="AH123:AK123"/>
    <mergeCell ref="AH124:AK124"/>
    <mergeCell ref="AH125:AK125"/>
    <mergeCell ref="AH126:AK126"/>
    <mergeCell ref="AH127:AK127"/>
    <mergeCell ref="AH128:AK128"/>
    <mergeCell ref="AG62:AK62"/>
    <mergeCell ref="AG63:AK63"/>
    <mergeCell ref="S122:V122"/>
    <mergeCell ref="N32:P32"/>
    <mergeCell ref="I123:L123"/>
    <mergeCell ref="I124:L124"/>
    <mergeCell ref="S123:V123"/>
    <mergeCell ref="S124:V124"/>
    <mergeCell ref="X125:AA125"/>
    <mergeCell ref="X126:AA126"/>
    <mergeCell ref="X127:AA127"/>
    <mergeCell ref="I125:L125"/>
    <mergeCell ref="N122:Q122"/>
    <mergeCell ref="I122:L122"/>
    <mergeCell ref="X122:AA122"/>
    <mergeCell ref="X123:AA123"/>
    <mergeCell ref="I127:L127"/>
    <mergeCell ref="N123:Q123"/>
    <mergeCell ref="N124:Q124"/>
    <mergeCell ref="AG102:AJ102"/>
    <mergeCell ref="C126:D126"/>
    <mergeCell ref="X120:AA120"/>
    <mergeCell ref="X119:AA119"/>
    <mergeCell ref="AG111:AK111"/>
    <mergeCell ref="AA103:AD103"/>
    <mergeCell ref="M104:P104"/>
    <mergeCell ref="B105:D105"/>
    <mergeCell ref="G103:J103"/>
    <mergeCell ref="AG110:AK110"/>
    <mergeCell ref="AH121:AK121"/>
    <mergeCell ref="AH117:AK117"/>
    <mergeCell ref="V103:X103"/>
    <mergeCell ref="AC119:AF119"/>
    <mergeCell ref="I116:L116"/>
    <mergeCell ref="C116:D116"/>
    <mergeCell ref="V105:X105"/>
    <mergeCell ref="AA105:AD105"/>
    <mergeCell ref="AC116:AF116"/>
    <mergeCell ref="AC117:AF117"/>
    <mergeCell ref="N119:Q119"/>
    <mergeCell ref="AC118:AF118"/>
    <mergeCell ref="AC124:AF124"/>
    <mergeCell ref="N125:Q125"/>
    <mergeCell ref="AG103:AJ103"/>
    <mergeCell ref="I121:L121"/>
    <mergeCell ref="N120:Q120"/>
    <mergeCell ref="S118:V118"/>
    <mergeCell ref="S119:V119"/>
    <mergeCell ref="S120:V120"/>
    <mergeCell ref="S121:V121"/>
    <mergeCell ref="AH119:AK119"/>
    <mergeCell ref="AH120:AK120"/>
    <mergeCell ref="I120:L120"/>
    <mergeCell ref="A113:AL113"/>
    <mergeCell ref="X118:AA118"/>
    <mergeCell ref="AA104:AD104"/>
    <mergeCell ref="X117:AA117"/>
    <mergeCell ref="AH115:AK115"/>
    <mergeCell ref="AH116:AK116"/>
    <mergeCell ref="X115:AA115"/>
    <mergeCell ref="G105:J105"/>
    <mergeCell ref="X116:AA116"/>
    <mergeCell ref="AG97:AJ97"/>
    <mergeCell ref="AG100:AJ100"/>
    <mergeCell ref="AG99:AJ99"/>
    <mergeCell ref="B86:D86"/>
    <mergeCell ref="M87:P87"/>
    <mergeCell ref="M88:P88"/>
    <mergeCell ref="B157:AK160"/>
    <mergeCell ref="AG105:AJ105"/>
    <mergeCell ref="AG104:AJ104"/>
    <mergeCell ref="AC122:AF122"/>
    <mergeCell ref="F142:V142"/>
    <mergeCell ref="I126:L126"/>
    <mergeCell ref="AC115:AF115"/>
    <mergeCell ref="AH122:AK122"/>
    <mergeCell ref="AC120:AF120"/>
    <mergeCell ref="AC121:AF121"/>
    <mergeCell ref="AH118:AK118"/>
    <mergeCell ref="X128:AA128"/>
    <mergeCell ref="AC125:AF125"/>
    <mergeCell ref="B131:AK137"/>
    <mergeCell ref="I115:L115"/>
    <mergeCell ref="N115:Q115"/>
    <mergeCell ref="C120:D120"/>
    <mergeCell ref="C121:D121"/>
    <mergeCell ref="AA97:AD97"/>
    <mergeCell ref="AA101:AD101"/>
    <mergeCell ref="AA91:AD91"/>
    <mergeCell ref="AA90:AD90"/>
    <mergeCell ref="AA89:AD89"/>
    <mergeCell ref="AA94:AD94"/>
    <mergeCell ref="AA93:AD93"/>
    <mergeCell ref="AA92:AD92"/>
    <mergeCell ref="AA99:AD99"/>
    <mergeCell ref="AA96:AD96"/>
    <mergeCell ref="AA95:AD95"/>
    <mergeCell ref="AA100:AD100"/>
    <mergeCell ref="AG93:AJ93"/>
    <mergeCell ref="O73:Q73"/>
    <mergeCell ref="O74:Q74"/>
    <mergeCell ref="V95:X95"/>
    <mergeCell ref="V96:X96"/>
    <mergeCell ref="AD81:AF81"/>
    <mergeCell ref="M93:P93"/>
    <mergeCell ref="M90:P90"/>
    <mergeCell ref="V86:X86"/>
    <mergeCell ref="AG95:AJ95"/>
    <mergeCell ref="AG96:AJ96"/>
    <mergeCell ref="V88:X88"/>
    <mergeCell ref="M95:P95"/>
    <mergeCell ref="AA86:AD86"/>
    <mergeCell ref="AG86:AJ86"/>
    <mergeCell ref="AG87:AJ87"/>
    <mergeCell ref="AG88:AJ88"/>
    <mergeCell ref="AG89:AJ89"/>
    <mergeCell ref="AA88:AD88"/>
    <mergeCell ref="AA87:AD87"/>
    <mergeCell ref="AG90:AJ90"/>
    <mergeCell ref="AG91:AJ91"/>
    <mergeCell ref="AG92:AJ92"/>
    <mergeCell ref="M94:P94"/>
    <mergeCell ref="AA85:AD85"/>
    <mergeCell ref="V87:X87"/>
    <mergeCell ref="AG94:AJ94"/>
    <mergeCell ref="AH73:AJ73"/>
    <mergeCell ref="AH74:AJ74"/>
    <mergeCell ref="I30:K30"/>
    <mergeCell ref="I31:K31"/>
    <mergeCell ref="I38:K38"/>
    <mergeCell ref="I32:K32"/>
    <mergeCell ref="N30:P30"/>
    <mergeCell ref="N31:P31"/>
    <mergeCell ref="G91:J91"/>
    <mergeCell ref="G92:J92"/>
    <mergeCell ref="G93:J93"/>
    <mergeCell ref="F52:H52"/>
    <mergeCell ref="O52:Q52"/>
    <mergeCell ref="F55:I55"/>
    <mergeCell ref="O55:Q55"/>
    <mergeCell ref="F56:H56"/>
    <mergeCell ref="G86:J86"/>
    <mergeCell ref="G87:J87"/>
    <mergeCell ref="O43:Q43"/>
    <mergeCell ref="G85:J85"/>
    <mergeCell ref="G88:J88"/>
    <mergeCell ref="O57:Q57"/>
    <mergeCell ref="J66:L66"/>
    <mergeCell ref="O66:Q66"/>
    <mergeCell ref="D62:Z62"/>
    <mergeCell ref="G100:J100"/>
    <mergeCell ref="G101:J101"/>
    <mergeCell ref="M99:P99"/>
    <mergeCell ref="M100:P100"/>
    <mergeCell ref="M96:P96"/>
    <mergeCell ref="V98:X98"/>
    <mergeCell ref="V99:X99"/>
    <mergeCell ref="G99:J99"/>
    <mergeCell ref="B92:D92"/>
    <mergeCell ref="B93:D93"/>
    <mergeCell ref="B94:D94"/>
    <mergeCell ref="V102:X102"/>
    <mergeCell ref="M98:P98"/>
    <mergeCell ref="V93:X93"/>
    <mergeCell ref="V94:X94"/>
    <mergeCell ref="AA98:AD98"/>
    <mergeCell ref="E73:G73"/>
    <mergeCell ref="E74:G74"/>
    <mergeCell ref="B90:D90"/>
    <mergeCell ref="AF14:AK14"/>
    <mergeCell ref="AF15:AK15"/>
    <mergeCell ref="AF16:AK16"/>
    <mergeCell ref="B95:D95"/>
    <mergeCell ref="B96:D96"/>
    <mergeCell ref="B102:D102"/>
    <mergeCell ref="G98:J98"/>
    <mergeCell ref="G94:J94"/>
    <mergeCell ref="G95:J95"/>
    <mergeCell ref="G96:J96"/>
    <mergeCell ref="G97:J97"/>
    <mergeCell ref="B97:D97"/>
    <mergeCell ref="B98:D98"/>
    <mergeCell ref="B99:D99"/>
    <mergeCell ref="B100:D100"/>
    <mergeCell ref="B101:D101"/>
    <mergeCell ref="F50:H50"/>
    <mergeCell ref="F51:H51"/>
    <mergeCell ref="O51:Q51"/>
    <mergeCell ref="BK1:CC4"/>
    <mergeCell ref="AU6:BF7"/>
    <mergeCell ref="H7:W7"/>
    <mergeCell ref="H11:AI11"/>
    <mergeCell ref="A83:AL83"/>
    <mergeCell ref="B91:D91"/>
    <mergeCell ref="A20:AL20"/>
    <mergeCell ref="A69:AL69"/>
    <mergeCell ref="A76:AL76"/>
    <mergeCell ref="A80:AL80"/>
    <mergeCell ref="B87:D87"/>
    <mergeCell ref="B88:D88"/>
    <mergeCell ref="B89:D89"/>
    <mergeCell ref="F49:I49"/>
    <mergeCell ref="O49:Q49"/>
    <mergeCell ref="E15:Z15"/>
    <mergeCell ref="N23:P23"/>
    <mergeCell ref="E16:Z16"/>
    <mergeCell ref="F35:I35"/>
    <mergeCell ref="N38:P38"/>
    <mergeCell ref="N27:R27"/>
    <mergeCell ref="Y183:Z183"/>
    <mergeCell ref="AC183:AI183"/>
    <mergeCell ref="B202:H202"/>
    <mergeCell ref="R202:U202"/>
    <mergeCell ref="D204:Z204"/>
    <mergeCell ref="AG204:AK204"/>
    <mergeCell ref="AG205:AK205"/>
    <mergeCell ref="Y185:Z185"/>
    <mergeCell ref="AC185:AI185"/>
    <mergeCell ref="Y187:Z187"/>
    <mergeCell ref="AC187:AI187"/>
    <mergeCell ref="Y189:Z189"/>
    <mergeCell ref="AC189:AI189"/>
    <mergeCell ref="AE144:AI144"/>
    <mergeCell ref="F151:V151"/>
    <mergeCell ref="Y175:Z175"/>
    <mergeCell ref="AC175:AI175"/>
    <mergeCell ref="Y177:Z177"/>
    <mergeCell ref="AC177:AI177"/>
    <mergeCell ref="Y179:Z179"/>
    <mergeCell ref="AC179:AI179"/>
    <mergeCell ref="Y181:Z181"/>
    <mergeCell ref="AC181:AI181"/>
    <mergeCell ref="AG155:AK155"/>
    <mergeCell ref="F149:V149"/>
    <mergeCell ref="D154:Z154"/>
    <mergeCell ref="AG154:AK154"/>
    <mergeCell ref="F150:V150"/>
    <mergeCell ref="AE151:AI151"/>
  </mergeCells>
  <conditionalFormatting sqref="B131:AK137">
    <cfRule type="cellIs" priority="115" stopIfTrue="1" operator="greaterThan">
      <formula>0</formula>
    </cfRule>
    <cfRule type="expression" dxfId="116" priority="116">
      <formula>$AM$192&gt;0</formula>
    </cfRule>
  </conditionalFormatting>
  <conditionalFormatting sqref="C173 E173">
    <cfRule type="expression" dxfId="115" priority="77">
      <formula>ISBLANK(C173)</formula>
    </cfRule>
  </conditionalFormatting>
  <conditionalFormatting sqref="C175 E175">
    <cfRule type="expression" dxfId="114" priority="103">
      <formula>ISBLANK(C175)</formula>
    </cfRule>
  </conditionalFormatting>
  <conditionalFormatting sqref="C177 E177">
    <cfRule type="expression" dxfId="113" priority="50">
      <formula>ISBLANK(C177)</formula>
    </cfRule>
  </conditionalFormatting>
  <conditionalFormatting sqref="C179 E179">
    <cfRule type="expression" dxfId="112" priority="47">
      <formula>ISBLANK(C179)</formula>
    </cfRule>
  </conditionalFormatting>
  <conditionalFormatting sqref="C181 E181">
    <cfRule type="expression" dxfId="111" priority="44">
      <formula>ISBLANK(C181)</formula>
    </cfRule>
  </conditionalFormatting>
  <conditionalFormatting sqref="C183 E183">
    <cfRule type="expression" dxfId="110" priority="41">
      <formula>ISBLANK(C183)</formula>
    </cfRule>
  </conditionalFormatting>
  <conditionalFormatting sqref="C185 E185">
    <cfRule type="expression" dxfId="109" priority="38">
      <formula>ISBLANK(C185)</formula>
    </cfRule>
  </conditionalFormatting>
  <conditionalFormatting sqref="C187 E187">
    <cfRule type="expression" dxfId="108" priority="29">
      <formula>ISBLANK(C187)</formula>
    </cfRule>
  </conditionalFormatting>
  <conditionalFormatting sqref="C189 E189">
    <cfRule type="expression" dxfId="107" priority="26">
      <formula>ISBLANK(C189)</formula>
    </cfRule>
  </conditionalFormatting>
  <conditionalFormatting sqref="D62:Z62">
    <cfRule type="cellIs" dxfId="106" priority="347" operator="equal">
      <formula>0</formula>
    </cfRule>
  </conditionalFormatting>
  <conditionalFormatting sqref="D110:Z110">
    <cfRule type="cellIs" dxfId="105" priority="345" operator="equal">
      <formula>0</formula>
    </cfRule>
  </conditionalFormatting>
  <conditionalFormatting sqref="D154:Z154">
    <cfRule type="cellIs" dxfId="104" priority="340" operator="equal">
      <formula>0</formula>
    </cfRule>
  </conditionalFormatting>
  <conditionalFormatting sqref="D204:Z204">
    <cfRule type="cellIs" dxfId="103" priority="5" operator="equal">
      <formula>0</formula>
    </cfRule>
  </conditionalFormatting>
  <conditionalFormatting sqref="E161:E162">
    <cfRule type="expression" dxfId="102" priority="112">
      <formula>ISBLANK(E161)</formula>
    </cfRule>
  </conditionalFormatting>
  <conditionalFormatting sqref="E173 C173">
    <cfRule type="expression" priority="76" stopIfTrue="1">
      <formula>$AM$173=2</formula>
    </cfRule>
  </conditionalFormatting>
  <conditionalFormatting sqref="E173">
    <cfRule type="expression" dxfId="101" priority="75">
      <formula>$AN$173=2</formula>
    </cfRule>
  </conditionalFormatting>
  <conditionalFormatting sqref="E175 C175">
    <cfRule type="expression" priority="102" stopIfTrue="1">
      <formula>$AM175=2</formula>
    </cfRule>
  </conditionalFormatting>
  <conditionalFormatting sqref="E175">
    <cfRule type="expression" dxfId="100" priority="101">
      <formula>$AN175=2</formula>
    </cfRule>
  </conditionalFormatting>
  <conditionalFormatting sqref="E177 C177">
    <cfRule type="expression" priority="49" stopIfTrue="1">
      <formula>$AM177=2</formula>
    </cfRule>
  </conditionalFormatting>
  <conditionalFormatting sqref="E177">
    <cfRule type="expression" dxfId="99" priority="48">
      <formula>$AN177=2</formula>
    </cfRule>
  </conditionalFormatting>
  <conditionalFormatting sqref="E179 C179">
    <cfRule type="expression" priority="46" stopIfTrue="1">
      <formula>$AM179=2</formula>
    </cfRule>
  </conditionalFormatting>
  <conditionalFormatting sqref="E179">
    <cfRule type="expression" dxfId="98" priority="45">
      <formula>$AN179=2</formula>
    </cfRule>
  </conditionalFormatting>
  <conditionalFormatting sqref="E181 C181">
    <cfRule type="expression" priority="43" stopIfTrue="1">
      <formula>$AM181=2</formula>
    </cfRule>
  </conditionalFormatting>
  <conditionalFormatting sqref="E181">
    <cfRule type="expression" dxfId="97" priority="42">
      <formula>$AN181=2</formula>
    </cfRule>
  </conditionalFormatting>
  <conditionalFormatting sqref="E183 C183">
    <cfRule type="expression" priority="40" stopIfTrue="1">
      <formula>$AM183=2</formula>
    </cfRule>
  </conditionalFormatting>
  <conditionalFormatting sqref="E183">
    <cfRule type="expression" dxfId="96" priority="39">
      <formula>$AN183=2</formula>
    </cfRule>
  </conditionalFormatting>
  <conditionalFormatting sqref="E185 C185">
    <cfRule type="expression" priority="37" stopIfTrue="1">
      <formula>$AM185=2</formula>
    </cfRule>
  </conditionalFormatting>
  <conditionalFormatting sqref="E185">
    <cfRule type="expression" dxfId="95" priority="36">
      <formula>$AN185=2</formula>
    </cfRule>
  </conditionalFormatting>
  <conditionalFormatting sqref="E187 C187">
    <cfRule type="expression" priority="28" stopIfTrue="1">
      <formula>$AM187=2</formula>
    </cfRule>
  </conditionalFormatting>
  <conditionalFormatting sqref="E187">
    <cfRule type="expression" dxfId="94" priority="27">
      <formula>$AN187=2</formula>
    </cfRule>
  </conditionalFormatting>
  <conditionalFormatting sqref="E189 C189">
    <cfRule type="expression" priority="25" stopIfTrue="1">
      <formula>$AM189=2</formula>
    </cfRule>
  </conditionalFormatting>
  <conditionalFormatting sqref="E189">
    <cfRule type="expression" dxfId="93" priority="24">
      <formula>$AN189=2</formula>
    </cfRule>
  </conditionalFormatting>
  <conditionalFormatting sqref="E163:Y163 E164:E166">
    <cfRule type="expression" dxfId="92" priority="110">
      <formula>ISBLANK(E163)</formula>
    </cfRule>
  </conditionalFormatting>
  <conditionalFormatting sqref="E15:Z16 AF16">
    <cfRule type="cellIs" dxfId="91" priority="334" operator="equal">
      <formula>0</formula>
    </cfRule>
  </conditionalFormatting>
  <conditionalFormatting sqref="F140:F144">
    <cfRule type="expression" dxfId="90" priority="3">
      <formula>ISBLANK(F140)</formula>
    </cfRule>
  </conditionalFormatting>
  <conditionalFormatting sqref="F147:F151 Z149 AH149 AE150:AE151">
    <cfRule type="expression" dxfId="89" priority="443">
      <formula>ISBLANK(F147)</formula>
    </cfRule>
    <cfRule type="expression" priority="355" stopIfTrue="1">
      <formula>$AM$146=2</formula>
    </cfRule>
  </conditionalFormatting>
  <conditionalFormatting sqref="G18 N18 Z18 AH18">
    <cfRule type="expression" dxfId="88" priority="353">
      <formula>ISBLANK(G18)</formula>
    </cfRule>
  </conditionalFormatting>
  <conditionalFormatting sqref="I123:I128">
    <cfRule type="cellIs" dxfId="87" priority="508" operator="notEqual">
      <formula>$I116</formula>
    </cfRule>
    <cfRule type="expression" dxfId="86" priority="507" stopIfTrue="1">
      <formula>ISBLANK(I123)</formula>
    </cfRule>
  </conditionalFormatting>
  <conditionalFormatting sqref="N116:N121">
    <cfRule type="expression" dxfId="85" priority="1142">
      <formula>ISBLANK(N116)</formula>
    </cfRule>
  </conditionalFormatting>
  <conditionalFormatting sqref="N123:N128">
    <cfRule type="expression" dxfId="84" priority="501" stopIfTrue="1">
      <formula>ISBLANK(N123)</formula>
    </cfRule>
    <cfRule type="cellIs" dxfId="83" priority="502" operator="notEqual">
      <formula>$N116</formula>
    </cfRule>
  </conditionalFormatting>
  <conditionalFormatting sqref="O164 W164">
    <cfRule type="expression" dxfId="82" priority="109">
      <formula>ISBLANK(O164)</formula>
    </cfRule>
  </conditionalFormatting>
  <conditionalFormatting sqref="S116:S121 X116:X121 AC116:AC121">
    <cfRule type="expression" dxfId="81" priority="442">
      <formula>ISBLANK(S116)</formula>
    </cfRule>
  </conditionalFormatting>
  <conditionalFormatting sqref="S123:S128 X123:X128 AC123:AC128">
    <cfRule type="expression" dxfId="80" priority="121" stopIfTrue="1">
      <formula>ISBLANK(S123)</formula>
    </cfRule>
  </conditionalFormatting>
  <conditionalFormatting sqref="V86:X86">
    <cfRule type="expression" dxfId="79" priority="117">
      <formula>ISBLANK($V$86)</formula>
    </cfRule>
  </conditionalFormatting>
  <conditionalFormatting sqref="X123:X127">
    <cfRule type="cellIs" dxfId="78" priority="500" operator="greaterThan">
      <formula>$Y$74</formula>
    </cfRule>
  </conditionalFormatting>
  <conditionalFormatting sqref="X123:AA127">
    <cfRule type="expression" priority="352" stopIfTrue="1">
      <formula>$AS$71=1</formula>
    </cfRule>
  </conditionalFormatting>
  <conditionalFormatting sqref="Y27 AB27">
    <cfRule type="expression" dxfId="77" priority="291">
      <formula>ISBLANK(AB27)</formula>
    </cfRule>
    <cfRule type="expression" priority="290" stopIfTrue="1">
      <formula>$AM$27=2</formula>
    </cfRule>
    <cfRule type="cellIs" priority="289" stopIfTrue="1" operator="greaterThan">
      <formula>0</formula>
    </cfRule>
  </conditionalFormatting>
  <conditionalFormatting sqref="Y55 AH55 AC66:AE67 AH66:AJ67">
    <cfRule type="expression" dxfId="76" priority="139">
      <formula>ISBLANK(Y55)</formula>
    </cfRule>
  </conditionalFormatting>
  <conditionalFormatting sqref="Y175 AC175">
    <cfRule type="cellIs" priority="99" stopIfTrue="1" operator="greaterThan">
      <formula>0</formula>
    </cfRule>
    <cfRule type="expression" dxfId="75" priority="100">
      <formula>$AO175=2</formula>
    </cfRule>
  </conditionalFormatting>
  <conditionalFormatting sqref="Y177 AC177">
    <cfRule type="expression" dxfId="74" priority="23">
      <formula>$AO177=2</formula>
    </cfRule>
    <cfRule type="cellIs" priority="22" stopIfTrue="1" operator="greaterThan">
      <formula>0</formula>
    </cfRule>
  </conditionalFormatting>
  <conditionalFormatting sqref="Y179 AC179">
    <cfRule type="expression" dxfId="73" priority="21">
      <formula>$AO179=2</formula>
    </cfRule>
    <cfRule type="cellIs" priority="20" stopIfTrue="1" operator="greaterThan">
      <formula>0</formula>
    </cfRule>
  </conditionalFormatting>
  <conditionalFormatting sqref="Y181 AC181">
    <cfRule type="expression" dxfId="72" priority="19">
      <formula>$AO181=2</formula>
    </cfRule>
    <cfRule type="cellIs" priority="18" stopIfTrue="1" operator="greaterThan">
      <formula>0</formula>
    </cfRule>
  </conditionalFormatting>
  <conditionalFormatting sqref="Y183 AC183">
    <cfRule type="cellIs" priority="16" stopIfTrue="1" operator="greaterThan">
      <formula>0</formula>
    </cfRule>
    <cfRule type="expression" dxfId="71" priority="17">
      <formula>$AO183=2</formula>
    </cfRule>
  </conditionalFormatting>
  <conditionalFormatting sqref="Y185 AC185">
    <cfRule type="expression" dxfId="70" priority="15">
      <formula>$AO185=2</formula>
    </cfRule>
    <cfRule type="cellIs" priority="14" stopIfTrue="1" operator="greaterThan">
      <formula>0</formula>
    </cfRule>
  </conditionalFormatting>
  <conditionalFormatting sqref="Y187 AC187">
    <cfRule type="expression" dxfId="69" priority="9">
      <formula>$AO187=2</formula>
    </cfRule>
    <cfRule type="cellIs" priority="8" stopIfTrue="1" operator="greaterThan">
      <formula>0</formula>
    </cfRule>
  </conditionalFormatting>
  <conditionalFormatting sqref="Y189 AC189">
    <cfRule type="expression" dxfId="68" priority="7">
      <formula>$AO189=2</formula>
    </cfRule>
    <cfRule type="cellIs" priority="6" stopIfTrue="1" operator="greaterThan">
      <formula>0</formula>
    </cfRule>
  </conditionalFormatting>
  <conditionalFormatting sqref="Y50:AA50">
    <cfRule type="expression" priority="148" stopIfTrue="1">
      <formula>$AM$51=2</formula>
    </cfRule>
    <cfRule type="cellIs" priority="149" stopIfTrue="1" operator="greaterThan">
      <formula>0</formula>
    </cfRule>
    <cfRule type="expression" dxfId="67" priority="150">
      <formula>ISBLANK(Y50)</formula>
    </cfRule>
  </conditionalFormatting>
  <conditionalFormatting sqref="Y50:AA52 AH51:AJ52">
    <cfRule type="expression" priority="140" stopIfTrue="1">
      <formula>$AM$45=2</formula>
    </cfRule>
  </conditionalFormatting>
  <conditionalFormatting sqref="Y51:AA51 AH51:AJ51">
    <cfRule type="expression" dxfId="66" priority="146">
      <formula>ISBLANK(Y51)</formula>
    </cfRule>
    <cfRule type="cellIs" priority="145" stopIfTrue="1" operator="greaterThan">
      <formula>0</formula>
    </cfRule>
    <cfRule type="expression" priority="144" stopIfTrue="1">
      <formula>$AM$50=2</formula>
    </cfRule>
  </conditionalFormatting>
  <conditionalFormatting sqref="Y52:AA52 AH52:AJ52">
    <cfRule type="expression" dxfId="65" priority="142">
      <formula>ISBLANK(Y52)</formula>
    </cfRule>
    <cfRule type="cellIs" priority="141" stopIfTrue="1" operator="greaterThan">
      <formula>0</formula>
    </cfRule>
  </conditionalFormatting>
  <conditionalFormatting sqref="Y56:AA56">
    <cfRule type="expression" dxfId="64" priority="137">
      <formula>ISBLANK(Y56)</formula>
    </cfRule>
    <cfRule type="expression" priority="135" stopIfTrue="1">
      <formula>$AM$57=2</formula>
    </cfRule>
    <cfRule type="cellIs" priority="136" stopIfTrue="1" operator="greaterThan">
      <formula>0</formula>
    </cfRule>
  </conditionalFormatting>
  <conditionalFormatting sqref="Y57:AA57 AH57:AJ57">
    <cfRule type="expression" priority="132" stopIfTrue="1">
      <formula>$AM$56=2</formula>
    </cfRule>
  </conditionalFormatting>
  <conditionalFormatting sqref="Y35:AB35 AB37:AD38 AG37:AI38">
    <cfRule type="cellIs" priority="168" stopIfTrue="1" operator="greaterThan">
      <formula>0</formula>
    </cfRule>
    <cfRule type="expression" priority="169" stopIfTrue="1">
      <formula>$AM$34=2</formula>
    </cfRule>
    <cfRule type="expression" dxfId="63" priority="170">
      <formula>ISBLANK(Y35)</formula>
    </cfRule>
  </conditionalFormatting>
  <conditionalFormatting sqref="Y42:AB42 AG42:AI43">
    <cfRule type="cellIs" priority="161" stopIfTrue="1" operator="greaterThan">
      <formula>0</formula>
    </cfRule>
    <cfRule type="expression" priority="162" stopIfTrue="1">
      <formula>$AM$40=2</formula>
    </cfRule>
    <cfRule type="expression" dxfId="62" priority="163">
      <formula>ISBLANK(Y42)</formula>
    </cfRule>
  </conditionalFormatting>
  <conditionalFormatting sqref="Y49:AB49 AH49:AJ49">
    <cfRule type="expression" priority="151" stopIfTrue="1">
      <formula>$AM$45=2</formula>
    </cfRule>
    <cfRule type="cellIs" priority="152" stopIfTrue="1" operator="greaterThan">
      <formula>0</formula>
    </cfRule>
    <cfRule type="expression" dxfId="61" priority="153">
      <formula>ISBLANK(AA49)</formula>
    </cfRule>
  </conditionalFormatting>
  <conditionalFormatting sqref="Y72:AB72 AH72:AK72 Y73:AA74 AH73:AJ74">
    <cfRule type="expression" priority="124" stopIfTrue="1">
      <formula>$AN$71=2</formula>
    </cfRule>
    <cfRule type="expression" dxfId="60" priority="126">
      <formula>ISBLANK(Y72)</formula>
    </cfRule>
    <cfRule type="cellIs" priority="125" stopIfTrue="1" operator="greaterThan">
      <formula>0</formula>
    </cfRule>
  </conditionalFormatting>
  <conditionalFormatting sqref="Z71 AC71">
    <cfRule type="expression" priority="127" stopIfTrue="1">
      <formula>$AM$71=2</formula>
    </cfRule>
    <cfRule type="expression" dxfId="59" priority="129">
      <formula>ISBLANK(Z71)</formula>
    </cfRule>
    <cfRule type="cellIs" priority="128" stopIfTrue="1" operator="greaterThan">
      <formula>0</formula>
    </cfRule>
  </conditionalFormatting>
  <conditionalFormatting sqref="Z142 AH142">
    <cfRule type="expression" dxfId="58" priority="357">
      <formula>ISBLANK(Z142)</formula>
    </cfRule>
  </conditionalFormatting>
  <conditionalFormatting sqref="AA86">
    <cfRule type="expression" priority="351" stopIfTrue="1">
      <formula>$AM$86=1</formula>
    </cfRule>
    <cfRule type="expression" dxfId="57" priority="414">
      <formula>$AP$86=2</formula>
    </cfRule>
  </conditionalFormatting>
  <conditionalFormatting sqref="AA86:AA105">
    <cfRule type="cellIs" priority="359" stopIfTrue="1" operator="greaterThan">
      <formula>0</formula>
    </cfRule>
  </conditionalFormatting>
  <conditionalFormatting sqref="AA87 AG87">
    <cfRule type="expression" dxfId="56" priority="396">
      <formula>$AP$87=2</formula>
    </cfRule>
  </conditionalFormatting>
  <conditionalFormatting sqref="AA88 AG88">
    <cfRule type="expression" dxfId="55" priority="394">
      <formula>$AP$88=2</formula>
    </cfRule>
  </conditionalFormatting>
  <conditionalFormatting sqref="AA89 AG89">
    <cfRule type="expression" dxfId="54" priority="392">
      <formula>$AP$89=2</formula>
    </cfRule>
  </conditionalFormatting>
  <conditionalFormatting sqref="AA90">
    <cfRule type="expression" dxfId="53" priority="412">
      <formula>$AP$90=2</formula>
    </cfRule>
  </conditionalFormatting>
  <conditionalFormatting sqref="AA91">
    <cfRule type="expression" dxfId="52" priority="410">
      <formula>$AP$91=2</formula>
    </cfRule>
  </conditionalFormatting>
  <conditionalFormatting sqref="AA92 AG92">
    <cfRule type="expression" dxfId="51" priority="386">
      <formula>$AP$92=2</formula>
    </cfRule>
  </conditionalFormatting>
  <conditionalFormatting sqref="AA93">
    <cfRule type="expression" dxfId="50" priority="406">
      <formula>$AP$93=2</formula>
    </cfRule>
  </conditionalFormatting>
  <conditionalFormatting sqref="AA94">
    <cfRule type="expression" dxfId="49" priority="404">
      <formula>$AP$94=2</formula>
    </cfRule>
  </conditionalFormatting>
  <conditionalFormatting sqref="AA95">
    <cfRule type="expression" dxfId="48" priority="402">
      <formula>$AP$95=2</formula>
    </cfRule>
  </conditionalFormatting>
  <conditionalFormatting sqref="AA96">
    <cfRule type="expression" dxfId="47" priority="400">
      <formula>$AP$96=2</formula>
    </cfRule>
  </conditionalFormatting>
  <conditionalFormatting sqref="AA97 AG97">
    <cfRule type="expression" dxfId="46" priority="376">
      <formula>$AP$97=2</formula>
    </cfRule>
  </conditionalFormatting>
  <conditionalFormatting sqref="AA98 AG98">
    <cfRule type="expression" dxfId="45" priority="374">
      <formula>$AP$98=2</formula>
    </cfRule>
  </conditionalFormatting>
  <conditionalFormatting sqref="AA99 AG99">
    <cfRule type="expression" dxfId="44" priority="372">
      <formula>$AP$99=2</formula>
    </cfRule>
  </conditionalFormatting>
  <conditionalFormatting sqref="AA100 AG100">
    <cfRule type="expression" dxfId="43" priority="370">
      <formula>$AP$100=2</formula>
    </cfRule>
  </conditionalFormatting>
  <conditionalFormatting sqref="AA101 AG101">
    <cfRule type="expression" dxfId="42" priority="368">
      <formula>$AP$101=2</formula>
    </cfRule>
  </conditionalFormatting>
  <conditionalFormatting sqref="AA102 AG102">
    <cfRule type="expression" dxfId="41" priority="366">
      <formula>$AP$102=2</formula>
    </cfRule>
  </conditionalFormatting>
  <conditionalFormatting sqref="AA103 AG103">
    <cfRule type="expression" dxfId="40" priority="364">
      <formula>$AP$103=2</formula>
    </cfRule>
  </conditionalFormatting>
  <conditionalFormatting sqref="AA104 AG104">
    <cfRule type="expression" dxfId="39" priority="362">
      <formula>$AP$104=2</formula>
    </cfRule>
  </conditionalFormatting>
  <conditionalFormatting sqref="AA105 AG105">
    <cfRule type="expression" dxfId="38" priority="360">
      <formula>$AP$105=2</formula>
    </cfRule>
  </conditionalFormatting>
  <conditionalFormatting sqref="AB30:AD32 AG30:AI32">
    <cfRule type="expression" dxfId="37" priority="281">
      <formula>ISBLANK(AG30)</formula>
    </cfRule>
    <cfRule type="cellIs" priority="280" stopIfTrue="1" operator="greaterThan">
      <formula>0</formula>
    </cfRule>
  </conditionalFormatting>
  <conditionalFormatting sqref="AC116:AC121">
    <cfRule type="cellIs" dxfId="36" priority="445" operator="greaterThan">
      <formula>6</formula>
    </cfRule>
  </conditionalFormatting>
  <conditionalFormatting sqref="AC123:AC128">
    <cfRule type="cellIs" dxfId="35" priority="1235" operator="greaterThan">
      <formula>$AP$114</formula>
    </cfRule>
  </conditionalFormatting>
  <conditionalFormatting sqref="AC168">
    <cfRule type="expression" dxfId="34" priority="111">
      <formula>ISBLANK(AC168)</formula>
    </cfRule>
  </conditionalFormatting>
  <conditionalFormatting sqref="AD34">
    <cfRule type="cellIs" priority="167" stopIfTrue="1" operator="greaterThan">
      <formula>0</formula>
    </cfRule>
    <cfRule type="expression" priority="171" stopIfTrue="1">
      <formula>$AM$35=2</formula>
    </cfRule>
    <cfRule type="expression" dxfId="33" priority="172">
      <formula>ISBLANK(AD34)</formula>
    </cfRule>
  </conditionalFormatting>
  <conditionalFormatting sqref="AD40">
    <cfRule type="cellIs" priority="164" stopIfTrue="1" operator="greaterThan">
      <formula>0</formula>
    </cfRule>
    <cfRule type="expression" priority="165" stopIfTrue="1">
      <formula>$AM$42=2</formula>
    </cfRule>
    <cfRule type="expression" dxfId="32" priority="166">
      <formula>ISBLANK(AD40)</formula>
    </cfRule>
  </conditionalFormatting>
  <conditionalFormatting sqref="AD45">
    <cfRule type="expression" dxfId="31" priority="160">
      <formula>ISBLANK(AD45)</formula>
    </cfRule>
    <cfRule type="expression" priority="159" stopIfTrue="1">
      <formula>$AM$49=2</formula>
    </cfRule>
    <cfRule type="cellIs" priority="158" stopIfTrue="1" operator="greaterThan">
      <formula>0</formula>
    </cfRule>
  </conditionalFormatting>
  <conditionalFormatting sqref="AD77:AD78">
    <cfRule type="expression" dxfId="30" priority="438">
      <formula>ISBLANK(AD77)</formula>
    </cfRule>
  </conditionalFormatting>
  <conditionalFormatting sqref="AD81">
    <cfRule type="cellIs" dxfId="29" priority="498" operator="lessThan">
      <formula>$J81</formula>
    </cfRule>
    <cfRule type="expression" dxfId="28" priority="497">
      <formula>ISBLANK(AD81)</formula>
    </cfRule>
  </conditionalFormatting>
  <conditionalFormatting sqref="AD146">
    <cfRule type="expression" dxfId="27" priority="358">
      <formula>ISBLANK(AD146)</formula>
    </cfRule>
    <cfRule type="expression" priority="120" stopIfTrue="1">
      <formula>$AM$147=2</formula>
    </cfRule>
  </conditionalFormatting>
  <conditionalFormatting sqref="AE144:AI144">
    <cfRule type="expression" dxfId="26" priority="356">
      <formula>ISBLANK(AE144)</formula>
    </cfRule>
  </conditionalFormatting>
  <conditionalFormatting sqref="AF14:AF15">
    <cfRule type="expression" dxfId="25" priority="114">
      <formula>ISBLANK(AF14)</formula>
    </cfRule>
  </conditionalFormatting>
  <conditionalFormatting sqref="AF14:AK14">
    <cfRule type="expression" priority="113" stopIfTrue="1">
      <formula>$AM$14=0</formula>
    </cfRule>
  </conditionalFormatting>
  <conditionalFormatting sqref="AG22:AG23">
    <cfRule type="expression" dxfId="24" priority="254">
      <formula>ISBLANK(AG22)</formula>
    </cfRule>
  </conditionalFormatting>
  <conditionalFormatting sqref="AG23">
    <cfRule type="cellIs" priority="253" stopIfTrue="1" operator="greaterThan">
      <formula>0</formula>
    </cfRule>
  </conditionalFormatting>
  <conditionalFormatting sqref="AG25 AJ25">
    <cfRule type="expression" priority="173" stopIfTrue="1">
      <formula>$AM$25=2</formula>
    </cfRule>
    <cfRule type="expression" dxfId="23" priority="174">
      <formula>ISBLANK(AG25)</formula>
    </cfRule>
  </conditionalFormatting>
  <conditionalFormatting sqref="AG47 AJ47">
    <cfRule type="expression" priority="154" stopIfTrue="1">
      <formula>$AM$45=2</formula>
    </cfRule>
    <cfRule type="cellIs" priority="155" stopIfTrue="1" operator="greaterThan">
      <formula>0</formula>
    </cfRule>
    <cfRule type="expression" priority="156" stopIfTrue="1">
      <formula>$AM$47=2</formula>
    </cfRule>
    <cfRule type="expression" dxfId="22" priority="157">
      <formula>ISBLANK(AG47)</formula>
    </cfRule>
  </conditionalFormatting>
  <conditionalFormatting sqref="AG86">
    <cfRule type="expression" dxfId="21" priority="448">
      <formula>$AP$86=2</formula>
    </cfRule>
    <cfRule type="expression" priority="397" stopIfTrue="1">
      <formula>$AN$86=1</formula>
    </cfRule>
  </conditionalFormatting>
  <conditionalFormatting sqref="AG86:AG105">
    <cfRule type="cellIs" priority="350" stopIfTrue="1" operator="greaterThan">
      <formula>0</formula>
    </cfRule>
  </conditionalFormatting>
  <conditionalFormatting sqref="AG90">
    <cfRule type="expression" dxfId="20" priority="390">
      <formula>$AP$90=2</formula>
    </cfRule>
  </conditionalFormatting>
  <conditionalFormatting sqref="AG91">
    <cfRule type="expression" dxfId="19" priority="388">
      <formula>$AP$91=2</formula>
    </cfRule>
  </conditionalFormatting>
  <conditionalFormatting sqref="AG93">
    <cfRule type="expression" dxfId="18" priority="384">
      <formula>$AP$93=2</formula>
    </cfRule>
  </conditionalFormatting>
  <conditionalFormatting sqref="AG94">
    <cfRule type="expression" dxfId="17" priority="382">
      <formula>$AP$94=2</formula>
    </cfRule>
  </conditionalFormatting>
  <conditionalFormatting sqref="AG95">
    <cfRule type="expression" dxfId="16" priority="380">
      <formula>$AP$95=2</formula>
    </cfRule>
  </conditionalFormatting>
  <conditionalFormatting sqref="AG96">
    <cfRule type="expression" dxfId="15" priority="378">
      <formula>$AP$96=2</formula>
    </cfRule>
  </conditionalFormatting>
  <conditionalFormatting sqref="AG27:AK27">
    <cfRule type="expression" dxfId="14" priority="288">
      <formula>$AN$27=2</formula>
    </cfRule>
    <cfRule type="cellIs" priority="287" stopIfTrue="1" operator="greaterThan">
      <formula>0</formula>
    </cfRule>
  </conditionalFormatting>
  <conditionalFormatting sqref="AG62:AK63">
    <cfRule type="cellIs" dxfId="13" priority="333" operator="equal">
      <formula>0</formula>
    </cfRule>
  </conditionalFormatting>
  <conditionalFormatting sqref="AG110:AK111">
    <cfRule type="cellIs" dxfId="12" priority="332" operator="equal">
      <formula>0</formula>
    </cfRule>
  </conditionalFormatting>
  <conditionalFormatting sqref="AG154:AK155">
    <cfRule type="cellIs" dxfId="11" priority="321" operator="equal">
      <formula>0</formula>
    </cfRule>
  </conditionalFormatting>
  <conditionalFormatting sqref="AG204:AK205">
    <cfRule type="cellIs" dxfId="10" priority="4" operator="equal">
      <formula>0</formula>
    </cfRule>
  </conditionalFormatting>
  <conditionalFormatting sqref="AH56:AJ57 Y57:AA57">
    <cfRule type="cellIs" priority="133" stopIfTrue="1" operator="greaterThan">
      <formula>0</formula>
    </cfRule>
    <cfRule type="expression" dxfId="9" priority="134">
      <formula>ISBLANK(Y56)</formula>
    </cfRule>
  </conditionalFormatting>
  <conditionalFormatting sqref="AH66:AJ66">
    <cfRule type="cellIs" dxfId="8" priority="123" operator="greaterThan">
      <formula>96</formula>
    </cfRule>
  </conditionalFormatting>
  <conditionalFormatting sqref="AH66:AJ67 Y55 AH55 AC66:AE67">
    <cfRule type="cellIs" priority="138" stopIfTrue="1" operator="greaterThan">
      <formula>0</formula>
    </cfRule>
  </conditionalFormatting>
  <conditionalFormatting sqref="AH67:AJ67">
    <cfRule type="cellIs" dxfId="7" priority="122" operator="greaterThan">
      <formula>12</formula>
    </cfRule>
  </conditionalFormatting>
  <conditionalFormatting sqref="AH116:AK121">
    <cfRule type="expression" dxfId="6" priority="107">
      <formula>$AN116=1</formula>
    </cfRule>
    <cfRule type="expression" dxfId="5" priority="108">
      <formula>$AO116=1</formula>
    </cfRule>
    <cfRule type="expression" dxfId="4" priority="2">
      <formula>$AM116=1</formula>
    </cfRule>
  </conditionalFormatting>
  <conditionalFormatting sqref="AH123:AK128">
    <cfRule type="expression" dxfId="3" priority="106">
      <formula>$AR123=1</formula>
    </cfRule>
    <cfRule type="expression" dxfId="2" priority="105">
      <formula>$AQ123=1</formula>
    </cfRule>
    <cfRule type="expression" dxfId="1" priority="104">
      <formula>$AS123=1</formula>
    </cfRule>
    <cfRule type="expression" dxfId="0" priority="1">
      <formula>ISBLANK($AH123)</formula>
    </cfRule>
  </conditionalFormatting>
  <pageMargins left="0.2" right="0.2" top="0.5" bottom="0.25" header="0.3" footer="0.3"/>
  <pageSetup orientation="portrait" r:id="rId1"/>
  <rowBreaks count="4" manualBreakCount="4">
    <brk id="61" max="16383" man="1"/>
    <brk id="109" max="16383" man="1"/>
    <brk id="153" max="16383" man="1"/>
    <brk id="203" max="16383" man="1"/>
  </rowBreaks>
  <colBreaks count="1" manualBreakCount="1">
    <brk id="45" max="1048575" man="1"/>
  </colBreaks>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51C0DC14-5C5B-497E-ADE8-E14CEC9C6FC0}">
          <x14:formula1>
            <xm:f>Tables!$A$2:$A$10</xm:f>
          </x14:formula1>
          <xm:sqref>Y72 Y35 Y49 Y55 Y42</xm:sqref>
        </x14:dataValidation>
        <x14:dataValidation type="list" allowBlank="1" showInputMessage="1" showErrorMessage="1" xr:uid="{15328467-34E1-4429-BBED-E9EF3D4805F6}">
          <x14:formula1>
            <xm:f>Tables!$C$2:$C$7</xm:f>
          </x14:formula1>
          <xm:sqref>AH72 AH49 AH55 H62:H64 H68 W68:Y68 W62:Y63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Form 2D - Design</vt:lpstr>
      <vt:lpstr>Form 2D.2 - Design Attachment</vt:lpstr>
      <vt:lpstr>Form 3D - As-built</vt:lpstr>
      <vt:lpstr>Material</vt:lpstr>
      <vt:lpstr>'Form 2D - Design'!Print_Area</vt:lpstr>
      <vt:lpstr>'Form 2D.2 - Design Attachment'!Print_Area</vt:lpstr>
      <vt:lpstr>'Form 3D - As-built'!Print_Area</vt:lpstr>
      <vt:lpstr>'Form 2D - Design'!Print_Titles</vt:lpstr>
      <vt:lpstr>'Form 2D.2 - Design Attachment'!Print_Titles</vt:lpstr>
      <vt:lpstr>'Form 3D - As-built'!Print_Titles</vt:lpstr>
      <vt:lpstr>Shape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Dewayne Smith</dc:creator>
  <cp:lastModifiedBy>Dewayne Smith</cp:lastModifiedBy>
  <cp:lastPrinted>2024-10-07T01:12:57Z</cp:lastPrinted>
  <dcterms:created xsi:type="dcterms:W3CDTF">2021-11-21T16:55:43Z</dcterms:created>
  <dcterms:modified xsi:type="dcterms:W3CDTF">2024-10-07T15:36:55Z</dcterms:modified>
</cp:coreProperties>
</file>