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HYDRO\PROJECTS\Montgomery\2025\B - Post Const\01 - Forms\2024-10-01 P\"/>
    </mc:Choice>
  </mc:AlternateContent>
  <xr:revisionPtr revIDLastSave="0" documentId="13_ncr:1_{475C9A6B-2CA4-48CF-BB7F-4BE5A56E6612}" xr6:coauthVersionLast="47" xr6:coauthVersionMax="47" xr10:uidLastSave="{00000000-0000-0000-0000-000000000000}"/>
  <workbookProtection workbookAlgorithmName="SHA-512" workbookHashValue="v8XXnEYsKLNlU3CP+PsPEygKvwgpOOKqPmZzL7e2tQliT1Qsn/thbq1GlXaOSClnAiwwYfl0Gf/l/E5QFBvNmQ==" workbookSaltValue="gga88fUmm0ax++ZV8bqjYA==" workbookSpinCount="100000" lockStructure="1"/>
  <bookViews>
    <workbookView xWindow="13935" yWindow="-16320" windowWidth="29040" windowHeight="15840" firstSheet="1" activeTab="1" xr2:uid="{994EC860-6224-46C4-B304-9868EEFCD4CE}"/>
  </bookViews>
  <sheets>
    <sheet name="Tables" sheetId="2" state="veryHidden" r:id="rId1"/>
    <sheet name="Instructions" sheetId="8" r:id="rId2"/>
    <sheet name="Form 2B.1 - Design" sheetId="5" r:id="rId3"/>
    <sheet name="Form 2B.2 - Design Attachment" sheetId="10" r:id="rId4"/>
    <sheet name="Form 3B - As-built" sheetId="6" r:id="rId5"/>
  </sheets>
  <definedNames>
    <definedName name="_Hlk68675965" localSheetId="4">'Form 3B - As-built'!#REF!</definedName>
    <definedName name="Logo">INDEX(Tables!$C$35:$C$39,MATCH(Tables!$C$14,Tables!$B$35:$B$39,0))</definedName>
    <definedName name="Material">Tables!$A$2:$A$10</definedName>
    <definedName name="_xlnm.Print_Area" localSheetId="2">'Form 2B.1 - Design'!$A$1:$AK$203</definedName>
    <definedName name="_xlnm.Print_Area" localSheetId="3">'Form 2B.2 - Design Attachment'!$A$1:$AK$114</definedName>
    <definedName name="_xlnm.Print_Area" localSheetId="4">'Form 3B - As-built'!$A$1:$AL$201</definedName>
    <definedName name="_xlnm.Print_Titles" localSheetId="2">'Form 2B.1 - Design'!$1:$4</definedName>
    <definedName name="_xlnm.Print_Titles" localSheetId="3">'Form 2B.2 - Design Attachment'!$1:$4</definedName>
    <definedName name="_xlnm.Print_Titles" localSheetId="4">'Form 3B - As-built'!$1:$4</definedName>
    <definedName name="Shape">Tables!$C$2:$C$10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2" l="1"/>
  <c r="C30" i="2"/>
  <c r="C31" i="2" l="1"/>
  <c r="AO155" i="5" s="1"/>
  <c r="AN183" i="5" l="1"/>
  <c r="AN181" i="5"/>
  <c r="AN179" i="5"/>
  <c r="AN177" i="5"/>
  <c r="AN175" i="5"/>
  <c r="AN173" i="5"/>
  <c r="AN171" i="5"/>
  <c r="AN169" i="5"/>
  <c r="AN167" i="5"/>
  <c r="AN165" i="5"/>
  <c r="AQ114" i="6" l="1"/>
  <c r="AP155" i="5"/>
  <c r="AQ155" i="5" s="1"/>
  <c r="AP153" i="5"/>
  <c r="AQ153" i="5" s="1"/>
  <c r="AQ149" i="5"/>
  <c r="AQ148" i="5"/>
  <c r="AQ147" i="5"/>
  <c r="AQ146" i="5"/>
  <c r="AQ145" i="5"/>
  <c r="AQ144" i="5"/>
  <c r="H2" i="2"/>
  <c r="H3" i="2" s="1"/>
  <c r="H4" i="2" s="1"/>
  <c r="H5" i="2" s="1"/>
  <c r="H6" i="2" s="1"/>
  <c r="H7" i="2" s="1"/>
  <c r="H8" i="2" s="1"/>
  <c r="H9" i="2" s="1"/>
  <c r="H10" i="2" s="1"/>
  <c r="H11" i="2" s="1"/>
  <c r="H12" i="2" s="1"/>
  <c r="H13" i="2" s="1"/>
  <c r="H14" i="2" s="1"/>
  <c r="H15" i="2" s="1"/>
  <c r="H16" i="2" s="1"/>
  <c r="H17" i="2" s="1"/>
  <c r="H18" i="2" s="1"/>
  <c r="H19" i="2" s="1"/>
  <c r="H20" i="2" s="1"/>
  <c r="G16" i="2"/>
  <c r="G15" i="2"/>
  <c r="Y155" i="5" l="1"/>
  <c r="Y64" i="10"/>
  <c r="C29" i="2"/>
  <c r="AP182" i="6"/>
  <c r="AP180" i="6"/>
  <c r="AP178" i="6"/>
  <c r="AP176" i="6"/>
  <c r="AP174" i="6"/>
  <c r="AP172" i="6"/>
  <c r="AP168" i="6" s="1"/>
  <c r="AP170" i="6"/>
  <c r="AO153" i="5" l="1"/>
  <c r="AF184" i="6"/>
  <c r="AN153" i="5" l="1"/>
  <c r="Y153" i="5"/>
  <c r="AQ113" i="6"/>
  <c r="AP113" i="6" s="1"/>
  <c r="AM157" i="5"/>
  <c r="AR113" i="6" l="1"/>
  <c r="AO114" i="5"/>
  <c r="AM155" i="5"/>
  <c r="AL155" i="5"/>
  <c r="AL46" i="5"/>
  <c r="AL33" i="5"/>
  <c r="AO124" i="6"/>
  <c r="AO125" i="6"/>
  <c r="AN155" i="5" l="1"/>
  <c r="AP114" i="6"/>
  <c r="AQ122" i="6"/>
  <c r="AQ121" i="6"/>
  <c r="AQ120" i="6"/>
  <c r="AQ123" i="6"/>
  <c r="AQ124" i="6"/>
  <c r="M188" i="6"/>
  <c r="AL113" i="5"/>
  <c r="AL114" i="5"/>
  <c r="AP109" i="5" l="1"/>
  <c r="AP110" i="5"/>
  <c r="AP111" i="5"/>
  <c r="AP113" i="5"/>
  <c r="AP114" i="5"/>
  <c r="AR114" i="6"/>
  <c r="AP112" i="5"/>
  <c r="L191" i="5"/>
  <c r="AP183" i="5"/>
  <c r="AO183" i="5"/>
  <c r="AM183" i="5"/>
  <c r="AL183" i="5"/>
  <c r="AP181" i="5"/>
  <c r="AO181" i="5"/>
  <c r="AM181" i="5"/>
  <c r="AL181" i="5"/>
  <c r="AP179" i="5"/>
  <c r="AO179" i="5"/>
  <c r="AM179" i="5"/>
  <c r="AL179" i="5"/>
  <c r="AP177" i="5"/>
  <c r="AO177" i="5"/>
  <c r="AM177" i="5"/>
  <c r="AL177" i="5"/>
  <c r="AP175" i="5"/>
  <c r="AO175" i="5"/>
  <c r="AM175" i="5"/>
  <c r="AL175" i="5"/>
  <c r="AP173" i="5"/>
  <c r="AO173" i="5"/>
  <c r="AM173" i="5"/>
  <c r="AL173" i="5"/>
  <c r="AP171" i="5"/>
  <c r="AO171" i="5"/>
  <c r="AM171" i="5"/>
  <c r="AL171" i="5"/>
  <c r="AP169" i="5"/>
  <c r="AO169" i="5"/>
  <c r="AM169" i="5"/>
  <c r="AL169" i="5"/>
  <c r="AP167" i="5"/>
  <c r="AO167" i="5"/>
  <c r="AM167" i="5"/>
  <c r="AL167" i="5"/>
  <c r="AP165" i="5"/>
  <c r="AO165" i="5"/>
  <c r="AM165" i="5"/>
  <c r="AL165" i="5"/>
  <c r="AL157" i="5"/>
  <c r="AM153" i="5"/>
  <c r="AL153" i="5"/>
  <c r="AL115" i="5"/>
  <c r="AO53" i="5"/>
  <c r="AM53" i="5"/>
  <c r="AL40" i="5"/>
  <c r="AN53" i="5"/>
  <c r="AL53" i="5"/>
  <c r="AN73" i="5"/>
  <c r="AP108" i="5" l="1"/>
  <c r="L200" i="5" s="1"/>
  <c r="AR120" i="6"/>
  <c r="AR123" i="6"/>
  <c r="AQ125" i="6"/>
  <c r="AR125" i="6"/>
  <c r="AR124" i="6"/>
  <c r="AR121" i="6"/>
  <c r="AR122" i="6"/>
  <c r="AQ183" i="5"/>
  <c r="AQ177" i="5"/>
  <c r="AQ171" i="5"/>
  <c r="AQ169" i="5"/>
  <c r="AQ173" i="5"/>
  <c r="AQ165" i="5"/>
  <c r="AQ167" i="5"/>
  <c r="AQ179" i="5"/>
  <c r="AQ175" i="5"/>
  <c r="AQ181" i="5"/>
  <c r="L189" i="5"/>
  <c r="AL189" i="5" s="1"/>
  <c r="AL27" i="5"/>
  <c r="AM161" i="5"/>
  <c r="AL161" i="5"/>
  <c r="AM159" i="5"/>
  <c r="AL159" i="5"/>
  <c r="B114" i="10"/>
  <c r="B66" i="10"/>
  <c r="AE68" i="10"/>
  <c r="D68" i="10"/>
  <c r="R64" i="10"/>
  <c r="K64" i="10"/>
  <c r="AQ62" i="10"/>
  <c r="AP62" i="10"/>
  <c r="AN62" i="10"/>
  <c r="AQ60" i="10"/>
  <c r="AP60" i="10"/>
  <c r="AN60" i="10"/>
  <c r="AQ58" i="10"/>
  <c r="AP58" i="10"/>
  <c r="AN58" i="10"/>
  <c r="AQ56" i="10"/>
  <c r="AP56" i="10"/>
  <c r="AN56" i="10"/>
  <c r="AQ54" i="10"/>
  <c r="AP54" i="10"/>
  <c r="AN54" i="10"/>
  <c r="AQ52" i="10"/>
  <c r="AP52" i="10"/>
  <c r="AN52" i="10"/>
  <c r="AQ50" i="10"/>
  <c r="AP50" i="10"/>
  <c r="AN50" i="10"/>
  <c r="AQ48" i="10"/>
  <c r="AP48" i="10"/>
  <c r="AN48" i="10"/>
  <c r="AQ46" i="10"/>
  <c r="AP46" i="10"/>
  <c r="AN46" i="10"/>
  <c r="AQ44" i="10"/>
  <c r="AP44" i="10"/>
  <c r="AN44" i="10"/>
  <c r="AQ42" i="10"/>
  <c r="AP42" i="10"/>
  <c r="AN42" i="10"/>
  <c r="AQ40" i="10"/>
  <c r="AP40" i="10"/>
  <c r="AN40" i="10"/>
  <c r="AQ38" i="10"/>
  <c r="AP38" i="10"/>
  <c r="AN38" i="10"/>
  <c r="AQ36" i="10"/>
  <c r="AP36" i="10"/>
  <c r="AN36" i="10"/>
  <c r="C36" i="10"/>
  <c r="C38" i="10" s="1"/>
  <c r="AQ34" i="10"/>
  <c r="AP34" i="10"/>
  <c r="AN34" i="10"/>
  <c r="AM34" i="10"/>
  <c r="AP30" i="10"/>
  <c r="AO30" i="10"/>
  <c r="AN30" i="10"/>
  <c r="AM30" i="10"/>
  <c r="AP28" i="10"/>
  <c r="AO28" i="10"/>
  <c r="AN28" i="10"/>
  <c r="AM28" i="10"/>
  <c r="AP26" i="10"/>
  <c r="AO26" i="10"/>
  <c r="AN26" i="10"/>
  <c r="AM26" i="10"/>
  <c r="AN22" i="10"/>
  <c r="AM22" i="10"/>
  <c r="AP20" i="10"/>
  <c r="AO20" i="10"/>
  <c r="AN20" i="10"/>
  <c r="AM20" i="10"/>
  <c r="AP18" i="10"/>
  <c r="AO18" i="10"/>
  <c r="AN18" i="10"/>
  <c r="AQ18" i="10" s="1"/>
  <c r="AM18" i="10"/>
  <c r="BD1" i="10"/>
  <c r="AQ109" i="5"/>
  <c r="AS120" i="6"/>
  <c r="C28" i="2"/>
  <c r="AT22" i="5" s="1"/>
  <c r="G125" i="6"/>
  <c r="G124" i="6"/>
  <c r="G123" i="6"/>
  <c r="G122" i="6"/>
  <c r="G121" i="6"/>
  <c r="G120" i="6"/>
  <c r="G117" i="6"/>
  <c r="G116" i="6"/>
  <c r="G115" i="6"/>
  <c r="G114" i="6"/>
  <c r="G113" i="6"/>
  <c r="G112" i="6"/>
  <c r="K114" i="5"/>
  <c r="K113" i="5"/>
  <c r="K112" i="5"/>
  <c r="K111" i="5"/>
  <c r="K110" i="5"/>
  <c r="K109" i="5"/>
  <c r="J51" i="5"/>
  <c r="J50" i="5"/>
  <c r="J49" i="5"/>
  <c r="J48" i="5"/>
  <c r="J47" i="5"/>
  <c r="J46" i="5"/>
  <c r="J38" i="5"/>
  <c r="J37" i="5"/>
  <c r="J36" i="5"/>
  <c r="J35" i="5"/>
  <c r="J34" i="5"/>
  <c r="J33" i="5"/>
  <c r="C27" i="2"/>
  <c r="C26" i="2"/>
  <c r="C25" i="2"/>
  <c r="C24" i="2"/>
  <c r="C23" i="2"/>
  <c r="C22" i="2"/>
  <c r="C21" i="2"/>
  <c r="C117" i="6" s="1"/>
  <c r="B80" i="6"/>
  <c r="G80" i="6"/>
  <c r="M80" i="6"/>
  <c r="AO182" i="6"/>
  <c r="AN182" i="6"/>
  <c r="AM182" i="6"/>
  <c r="AO170" i="6"/>
  <c r="AN170" i="6"/>
  <c r="AM170" i="6"/>
  <c r="AU15" i="6"/>
  <c r="AU24" i="6" s="1"/>
  <c r="AS13" i="5"/>
  <c r="AS14" i="5" s="1"/>
  <c r="AS18" i="5" s="1"/>
  <c r="AS21" i="5" s="1"/>
  <c r="AS23" i="5" s="1"/>
  <c r="AS27" i="5" s="1"/>
  <c r="AS30" i="5" s="1"/>
  <c r="AS32" i="5" s="1"/>
  <c r="AS35" i="5" s="1"/>
  <c r="AS40" i="5" s="1"/>
  <c r="AS42" i="5" s="1"/>
  <c r="AO22" i="10" l="1"/>
  <c r="K32" i="10" s="1"/>
  <c r="AR119" i="6"/>
  <c r="R65" i="10"/>
  <c r="Y65" i="10"/>
  <c r="AM71" i="10"/>
  <c r="AB64" i="10"/>
  <c r="AB42" i="10"/>
  <c r="AB40" i="10"/>
  <c r="AB46" i="10"/>
  <c r="AB62" i="10"/>
  <c r="AB38" i="10"/>
  <c r="AB50" i="10"/>
  <c r="AB60" i="10"/>
  <c r="AB36" i="10"/>
  <c r="AB34" i="10"/>
  <c r="AB58" i="10"/>
  <c r="AB56" i="10"/>
  <c r="AB48" i="10"/>
  <c r="AB54" i="10"/>
  <c r="AB52" i="10"/>
  <c r="AB44" i="10"/>
  <c r="AM36" i="10"/>
  <c r="AO113" i="5"/>
  <c r="AO111" i="5"/>
  <c r="AO112" i="5"/>
  <c r="AO109" i="5"/>
  <c r="AO110" i="5"/>
  <c r="AN161" i="5"/>
  <c r="F33" i="10"/>
  <c r="AN33" i="10" s="1"/>
  <c r="B33" i="10"/>
  <c r="AM33" i="10" s="1"/>
  <c r="N60" i="10"/>
  <c r="N36" i="10"/>
  <c r="N44" i="10"/>
  <c r="U44" i="10"/>
  <c r="N50" i="10"/>
  <c r="U62" i="10"/>
  <c r="N62" i="10"/>
  <c r="U58" i="10"/>
  <c r="U52" i="10"/>
  <c r="U46" i="10"/>
  <c r="U64" i="10"/>
  <c r="U40" i="10"/>
  <c r="U34" i="10"/>
  <c r="U50" i="10"/>
  <c r="U38" i="10"/>
  <c r="N64" i="10"/>
  <c r="N58" i="10"/>
  <c r="N52" i="10"/>
  <c r="N46" i="10"/>
  <c r="N40" i="10"/>
  <c r="N34" i="10"/>
  <c r="U56" i="10"/>
  <c r="N56" i="10"/>
  <c r="N38" i="10"/>
  <c r="U60" i="10"/>
  <c r="U54" i="10"/>
  <c r="U48" i="10"/>
  <c r="U42" i="10"/>
  <c r="U36" i="10"/>
  <c r="N54" i="10"/>
  <c r="N48" i="10"/>
  <c r="N42" i="10"/>
  <c r="AM38" i="10"/>
  <c r="C40" i="10"/>
  <c r="C125" i="6"/>
  <c r="G114" i="5"/>
  <c r="F38" i="5"/>
  <c r="F51" i="5"/>
  <c r="B200" i="6"/>
  <c r="AO180" i="6"/>
  <c r="AN180" i="6"/>
  <c r="AM180" i="6"/>
  <c r="AO178" i="6"/>
  <c r="AN178" i="6"/>
  <c r="AM178" i="6"/>
  <c r="AO176" i="6"/>
  <c r="AN176" i="6"/>
  <c r="AM176" i="6"/>
  <c r="AO174" i="6"/>
  <c r="AN174" i="6"/>
  <c r="AM174" i="6"/>
  <c r="AO172" i="6"/>
  <c r="AN172" i="6"/>
  <c r="AM172" i="6"/>
  <c r="AM168" i="6" s="1"/>
  <c r="M199" i="6" s="1"/>
  <c r="B202" i="5"/>
  <c r="AM199" i="6" l="1"/>
  <c r="AO108" i="5"/>
  <c r="C42" i="10"/>
  <c r="AM40" i="10"/>
  <c r="AM102" i="5"/>
  <c r="AN102" i="5"/>
  <c r="AL78" i="5"/>
  <c r="AL79" i="5"/>
  <c r="AL80" i="5"/>
  <c r="AL81" i="5"/>
  <c r="AL82" i="5"/>
  <c r="AL77" i="5"/>
  <c r="AL75" i="5"/>
  <c r="AS122" i="6"/>
  <c r="AS123" i="6"/>
  <c r="AS124" i="6"/>
  <c r="AS125" i="6"/>
  <c r="AS121" i="6"/>
  <c r="AP121" i="6"/>
  <c r="AP122" i="6"/>
  <c r="AP123" i="6"/>
  <c r="AP124" i="6"/>
  <c r="AP125" i="6"/>
  <c r="AP120" i="6"/>
  <c r="AO121" i="6"/>
  <c r="AO122" i="6"/>
  <c r="AO123" i="6"/>
  <c r="AO120" i="6"/>
  <c r="AM66" i="6"/>
  <c r="AO65" i="6"/>
  <c r="AM65" i="6"/>
  <c r="AQ114" i="5"/>
  <c r="AQ111" i="5"/>
  <c r="AQ112" i="5"/>
  <c r="AQ113" i="5"/>
  <c r="AQ110" i="5"/>
  <c r="AN111" i="5"/>
  <c r="AN112" i="5"/>
  <c r="AN113" i="5"/>
  <c r="AN114" i="5"/>
  <c r="AN109" i="5"/>
  <c r="AN110" i="5"/>
  <c r="AM109" i="5"/>
  <c r="AL110" i="5"/>
  <c r="AL111" i="5"/>
  <c r="AL112" i="5"/>
  <c r="AL109" i="5"/>
  <c r="AO86" i="5"/>
  <c r="AM88" i="5"/>
  <c r="AO85" i="5"/>
  <c r="AL51" i="5"/>
  <c r="AL50" i="5"/>
  <c r="AL49" i="5"/>
  <c r="AL48" i="5"/>
  <c r="AL47" i="5"/>
  <c r="AL38" i="5"/>
  <c r="AL37" i="5"/>
  <c r="AL36" i="5"/>
  <c r="AL35" i="5"/>
  <c r="AL34" i="5"/>
  <c r="AC113" i="6"/>
  <c r="AC114" i="6"/>
  <c r="AC115" i="6"/>
  <c r="AC116" i="6"/>
  <c r="AC117" i="6"/>
  <c r="AC112" i="6"/>
  <c r="AD51" i="6"/>
  <c r="AD52" i="6"/>
  <c r="AD53" i="6"/>
  <c r="AD54" i="6"/>
  <c r="AD55" i="6"/>
  <c r="AD56" i="6"/>
  <c r="AD50" i="6"/>
  <c r="AD46" i="6"/>
  <c r="N82" i="5"/>
  <c r="L56" i="6" s="1"/>
  <c r="N81" i="5"/>
  <c r="L55" i="6" s="1"/>
  <c r="N80" i="5"/>
  <c r="L54" i="6" s="1"/>
  <c r="N79" i="5"/>
  <c r="L53" i="6" s="1"/>
  <c r="N78" i="5"/>
  <c r="L52" i="6" s="1"/>
  <c r="N77" i="5"/>
  <c r="L51" i="6" s="1"/>
  <c r="N75" i="5"/>
  <c r="L50" i="6" s="1"/>
  <c r="N73" i="5"/>
  <c r="L46" i="6" s="1"/>
  <c r="AM117" i="5"/>
  <c r="AM110" i="5" s="1"/>
  <c r="C20" i="2"/>
  <c r="C19" i="2"/>
  <c r="C18" i="2"/>
  <c r="C17" i="2"/>
  <c r="C16" i="2"/>
  <c r="C15" i="2"/>
  <c r="L199" i="5" l="1"/>
  <c r="AL199" i="5" s="1"/>
  <c r="AL200" i="5"/>
  <c r="AQ119" i="6"/>
  <c r="AL108" i="5"/>
  <c r="AO119" i="6"/>
  <c r="AQ108" i="5"/>
  <c r="L198" i="5" s="1"/>
  <c r="AL198" i="5" s="1"/>
  <c r="AN108" i="5"/>
  <c r="L197" i="5" s="1"/>
  <c r="C44" i="10"/>
  <c r="AM42" i="10"/>
  <c r="C116" i="6"/>
  <c r="F50" i="5"/>
  <c r="F37" i="5"/>
  <c r="C124" i="6"/>
  <c r="G113" i="5"/>
  <c r="C114" i="6"/>
  <c r="F48" i="5"/>
  <c r="F35" i="5"/>
  <c r="C122" i="6"/>
  <c r="G111" i="5"/>
  <c r="F36" i="5"/>
  <c r="F49" i="5"/>
  <c r="C115" i="6"/>
  <c r="C123" i="6"/>
  <c r="G112" i="5"/>
  <c r="G109" i="5"/>
  <c r="C120" i="6"/>
  <c r="F46" i="5"/>
  <c r="F33" i="5"/>
  <c r="C112" i="6"/>
  <c r="C121" i="6"/>
  <c r="G110" i="5"/>
  <c r="F34" i="5"/>
  <c r="C113" i="6"/>
  <c r="F47" i="5"/>
  <c r="G13" i="2"/>
  <c r="AM114" i="5"/>
  <c r="AM113" i="5"/>
  <c r="AM112" i="5"/>
  <c r="AM111" i="5"/>
  <c r="AL45" i="5"/>
  <c r="AL32" i="5"/>
  <c r="AP110" i="6"/>
  <c r="G6" i="2"/>
  <c r="K186" i="6"/>
  <c r="AE14" i="6"/>
  <c r="AM14" i="6" s="1"/>
  <c r="M186" i="6" s="1"/>
  <c r="AM186" i="6" s="1"/>
  <c r="M197" i="6" l="1"/>
  <c r="AM197" i="6" s="1"/>
  <c r="M198" i="6"/>
  <c r="AM198" i="6" s="1"/>
  <c r="AM44" i="10"/>
  <c r="C46" i="10"/>
  <c r="AO67" i="6"/>
  <c r="AO66" i="6"/>
  <c r="AM67" i="6"/>
  <c r="C48" i="10" l="1"/>
  <c r="AM46" i="10"/>
  <c r="AM64" i="6"/>
  <c r="M187" i="6" s="1"/>
  <c r="AO127" i="6"/>
  <c r="C50" i="10" l="1"/>
  <c r="AM48" i="10"/>
  <c r="AM188" i="6"/>
  <c r="J75" i="6"/>
  <c r="AM50" i="10" l="1"/>
  <c r="C52" i="10"/>
  <c r="AL194" i="5"/>
  <c r="R33" i="6"/>
  <c r="O33" i="6"/>
  <c r="C54" i="10" l="1"/>
  <c r="AM52" i="10"/>
  <c r="I114" i="6"/>
  <c r="AM191" i="6"/>
  <c r="AO92" i="5"/>
  <c r="AN92" i="5"/>
  <c r="AE150" i="5"/>
  <c r="AE149" i="5"/>
  <c r="D149" i="5"/>
  <c r="AM122" i="6" l="1"/>
  <c r="C56" i="10"/>
  <c r="AM54" i="10"/>
  <c r="AL191" i="5"/>
  <c r="AM56" i="10" l="1"/>
  <c r="C58" i="10"/>
  <c r="AA18" i="6"/>
  <c r="B147" i="5"/>
  <c r="B104" i="5"/>
  <c r="B55" i="5"/>
  <c r="B151" i="6"/>
  <c r="B106" i="6"/>
  <c r="B59" i="6"/>
  <c r="C60" i="10" l="1"/>
  <c r="AM58" i="10"/>
  <c r="D15" i="2"/>
  <c r="AA24" i="5" s="1"/>
  <c r="AT20" i="5"/>
  <c r="D131" i="5"/>
  <c r="AX23" i="6"/>
  <c r="AV48" i="6"/>
  <c r="AM144" i="6"/>
  <c r="AN48" i="6"/>
  <c r="AM39" i="6"/>
  <c r="AM38" i="6"/>
  <c r="C62" i="10" l="1"/>
  <c r="AM62" i="10" s="1"/>
  <c r="AM60" i="10"/>
  <c r="B6" i="8"/>
  <c r="B34" i="8" s="1"/>
  <c r="B35" i="8" s="1"/>
  <c r="AL67" i="5" l="1"/>
  <c r="AL66" i="5"/>
  <c r="E38" i="6"/>
  <c r="J25" i="5"/>
  <c r="AL21" i="5" s="1"/>
  <c r="W25" i="5" s="1"/>
  <c r="AL63" i="5"/>
  <c r="G31" i="6"/>
  <c r="AM29" i="6"/>
  <c r="P28" i="5"/>
  <c r="L28" i="5"/>
  <c r="W24" i="5" l="1"/>
  <c r="W21" i="5"/>
  <c r="BN1" i="6"/>
  <c r="AG152" i="6" l="1"/>
  <c r="AG107" i="6"/>
  <c r="AN33" i="6"/>
  <c r="AM33" i="6"/>
  <c r="AN29" i="6"/>
  <c r="AH117" i="6" l="1"/>
  <c r="AH116" i="6"/>
  <c r="AH115" i="6"/>
  <c r="AH114" i="6"/>
  <c r="AH113" i="6"/>
  <c r="AH112" i="6"/>
  <c r="AG60" i="6"/>
  <c r="X117" i="6"/>
  <c r="X116" i="6"/>
  <c r="X115" i="6"/>
  <c r="X114" i="6"/>
  <c r="X113" i="6"/>
  <c r="X112" i="6"/>
  <c r="S117" i="6"/>
  <c r="S116" i="6"/>
  <c r="S115" i="6"/>
  <c r="S114" i="6"/>
  <c r="S113" i="6"/>
  <c r="S112" i="6"/>
  <c r="N117" i="6"/>
  <c r="AN125" i="6" s="1"/>
  <c r="N116" i="6"/>
  <c r="AN124" i="6" s="1"/>
  <c r="N115" i="6"/>
  <c r="AN123" i="6" s="1"/>
  <c r="N114" i="6"/>
  <c r="AN122" i="6" s="1"/>
  <c r="N113" i="6"/>
  <c r="AN121" i="6" s="1"/>
  <c r="N112" i="6"/>
  <c r="AN120" i="6" s="1"/>
  <c r="M91" i="6"/>
  <c r="M92" i="6"/>
  <c r="M93" i="6"/>
  <c r="M94" i="6"/>
  <c r="M95" i="6"/>
  <c r="M96" i="6"/>
  <c r="M97" i="6"/>
  <c r="M98" i="6"/>
  <c r="M99" i="6"/>
  <c r="G91" i="6"/>
  <c r="G93" i="6"/>
  <c r="G94" i="6"/>
  <c r="G95" i="6"/>
  <c r="G96" i="6"/>
  <c r="G97" i="6"/>
  <c r="G98" i="6"/>
  <c r="G99" i="6"/>
  <c r="B91" i="6"/>
  <c r="B92" i="6"/>
  <c r="B93" i="6"/>
  <c r="B94" i="6"/>
  <c r="B95" i="6"/>
  <c r="B96" i="6"/>
  <c r="B97" i="6"/>
  <c r="B98" i="6"/>
  <c r="B99" i="6"/>
  <c r="M90" i="6"/>
  <c r="G90" i="6"/>
  <c r="B90" i="6"/>
  <c r="M81" i="6"/>
  <c r="M82" i="6"/>
  <c r="M83" i="6"/>
  <c r="M84" i="6"/>
  <c r="M85" i="6"/>
  <c r="M87" i="6"/>
  <c r="M89" i="6"/>
  <c r="G89" i="6"/>
  <c r="G88" i="6"/>
  <c r="G87" i="6"/>
  <c r="G86" i="6"/>
  <c r="G85" i="6"/>
  <c r="G84" i="6"/>
  <c r="G83" i="6"/>
  <c r="G82" i="6"/>
  <c r="G81" i="6"/>
  <c r="B89" i="6"/>
  <c r="B88" i="6"/>
  <c r="B87" i="6"/>
  <c r="B86" i="6"/>
  <c r="B85" i="6"/>
  <c r="B84" i="6"/>
  <c r="B83" i="6"/>
  <c r="B82" i="6"/>
  <c r="B81" i="6"/>
  <c r="Q56" i="6"/>
  <c r="M56" i="6"/>
  <c r="I56" i="6"/>
  <c r="E56" i="6"/>
  <c r="Q55" i="6"/>
  <c r="M55" i="6"/>
  <c r="I55" i="6"/>
  <c r="E55" i="6"/>
  <c r="Q54" i="6"/>
  <c r="M54" i="6"/>
  <c r="I54" i="6"/>
  <c r="E54" i="6"/>
  <c r="Q53" i="6"/>
  <c r="M53" i="6"/>
  <c r="I53" i="6"/>
  <c r="E53" i="6"/>
  <c r="Q52" i="6"/>
  <c r="M52" i="6"/>
  <c r="I52" i="6"/>
  <c r="E52" i="6"/>
  <c r="Q51" i="6"/>
  <c r="M51" i="6"/>
  <c r="I51" i="6"/>
  <c r="E51" i="6"/>
  <c r="Q50" i="6"/>
  <c r="M50" i="6"/>
  <c r="I50" i="6"/>
  <c r="E50" i="6"/>
  <c r="Q46" i="6"/>
  <c r="M46" i="6"/>
  <c r="I46" i="6"/>
  <c r="E46" i="6"/>
  <c r="D56" i="6"/>
  <c r="D55" i="6"/>
  <c r="D54" i="6"/>
  <c r="D53" i="6"/>
  <c r="D52" i="6"/>
  <c r="D51" i="6"/>
  <c r="D50" i="6"/>
  <c r="H33" i="6"/>
  <c r="E33" i="6"/>
  <c r="AL61" i="5"/>
  <c r="AM61" i="5"/>
  <c r="Q45" i="6"/>
  <c r="M45" i="6"/>
  <c r="I45" i="6"/>
  <c r="E45" i="6"/>
  <c r="E37" i="6"/>
  <c r="AM75" i="5"/>
  <c r="AM77" i="5"/>
  <c r="K29" i="6"/>
  <c r="G29" i="6"/>
  <c r="G27" i="6"/>
  <c r="G24" i="6"/>
  <c r="G26" i="6"/>
  <c r="G23" i="6"/>
  <c r="G25" i="6"/>
  <c r="G22" i="6"/>
  <c r="AN112" i="6" l="1"/>
  <c r="AO112" i="6"/>
  <c r="AN113" i="6"/>
  <c r="AO113" i="6"/>
  <c r="AN114" i="6"/>
  <c r="AO114" i="6"/>
  <c r="AN115" i="6"/>
  <c r="AO115" i="6"/>
  <c r="AN116" i="6"/>
  <c r="AO116" i="6"/>
  <c r="AO117" i="6"/>
  <c r="AN117" i="6"/>
  <c r="AM114" i="6"/>
  <c r="N37" i="6"/>
  <c r="AN144" i="6" l="1"/>
  <c r="AO99" i="6"/>
  <c r="AO98" i="6"/>
  <c r="AO97" i="6"/>
  <c r="AO96" i="6"/>
  <c r="AO95" i="6"/>
  <c r="AO94" i="6"/>
  <c r="AO93" i="6"/>
  <c r="AO92" i="6"/>
  <c r="AO91" i="6"/>
  <c r="AO90" i="6"/>
  <c r="AO89" i="6"/>
  <c r="AO88" i="6"/>
  <c r="AO87" i="6"/>
  <c r="AO86" i="6"/>
  <c r="AO85" i="6"/>
  <c r="AO84" i="6"/>
  <c r="AO83" i="6"/>
  <c r="AO82" i="6"/>
  <c r="AO81" i="6"/>
  <c r="AO80" i="6"/>
  <c r="AN80" i="6"/>
  <c r="AM80" i="6"/>
  <c r="AM71" i="6"/>
  <c r="I71" i="6"/>
  <c r="AM70" i="6"/>
  <c r="I70" i="6"/>
  <c r="O67" i="6"/>
  <c r="E67" i="6"/>
  <c r="O66" i="6"/>
  <c r="E66" i="6"/>
  <c r="O65" i="6"/>
  <c r="E65" i="6"/>
  <c r="AM56" i="6"/>
  <c r="AM55" i="6"/>
  <c r="AM54" i="6"/>
  <c r="AM53" i="6"/>
  <c r="AM52" i="6"/>
  <c r="AM51" i="6"/>
  <c r="AM50" i="6"/>
  <c r="AM48" i="6"/>
  <c r="I48" i="6"/>
  <c r="E48" i="6"/>
  <c r="AM46" i="6"/>
  <c r="AM45" i="6"/>
  <c r="AM42" i="6"/>
  <c r="I42" i="6"/>
  <c r="E42" i="6"/>
  <c r="N40" i="6"/>
  <c r="E40" i="6"/>
  <c r="N39" i="6"/>
  <c r="E39" i="6"/>
  <c r="AF16" i="6"/>
  <c r="E16" i="6"/>
  <c r="E15" i="6"/>
  <c r="AO71" i="6" l="1"/>
  <c r="AG153" i="6"/>
  <c r="D60" i="6"/>
  <c r="D152" i="6"/>
  <c r="AG108" i="6"/>
  <c r="AS119" i="6"/>
  <c r="M196" i="6" s="1"/>
  <c r="AP119" i="6"/>
  <c r="AG61" i="6"/>
  <c r="D107" i="6"/>
  <c r="AM59" i="5"/>
  <c r="AM58" i="5"/>
  <c r="AL69" i="5"/>
  <c r="AL58" i="5"/>
  <c r="AM63" i="5"/>
  <c r="AM196" i="6" l="1"/>
  <c r="M195" i="6"/>
  <c r="AM195" i="6" s="1"/>
  <c r="M194" i="6"/>
  <c r="AM194" i="6" s="1"/>
  <c r="AM187" i="6"/>
  <c r="AN119" i="6"/>
  <c r="AM60" i="5"/>
  <c r="AN22" i="6" s="1"/>
  <c r="AA97" i="5" l="1"/>
  <c r="K99" i="5"/>
  <c r="AA95" i="5"/>
  <c r="K101" i="5"/>
  <c r="AA94" i="5"/>
  <c r="AA93" i="5"/>
  <c r="K93" i="5"/>
  <c r="K94" i="5"/>
  <c r="K95" i="5"/>
  <c r="AA100" i="5"/>
  <c r="K96" i="5"/>
  <c r="AA99" i="5"/>
  <c r="AA98" i="5"/>
  <c r="AA96" i="5"/>
  <c r="K100" i="5"/>
  <c r="K92" i="5"/>
  <c r="AO78" i="6" s="1" a="1"/>
  <c r="AO78" i="6" s="1"/>
  <c r="AM79" i="6" s="1"/>
  <c r="AA92" i="5"/>
  <c r="AA101" i="5"/>
  <c r="K97" i="5"/>
  <c r="K98" i="5"/>
  <c r="AG94" i="5"/>
  <c r="Q99" i="5"/>
  <c r="AG95" i="5"/>
  <c r="Q100" i="5"/>
  <c r="AG96" i="5"/>
  <c r="Q101" i="5"/>
  <c r="AG97" i="5"/>
  <c r="Q92" i="5"/>
  <c r="AO79" i="6" s="1" a="1"/>
  <c r="AO79" i="6" s="1"/>
  <c r="AG99" i="5"/>
  <c r="AG100" i="5"/>
  <c r="Q93" i="5"/>
  <c r="AG101" i="5"/>
  <c r="Q94" i="5"/>
  <c r="Q95" i="5"/>
  <c r="Q96" i="5"/>
  <c r="Q97" i="5"/>
  <c r="AG93" i="5"/>
  <c r="Q98" i="5"/>
  <c r="AG92" i="5"/>
  <c r="AG98" i="5"/>
  <c r="M193" i="6"/>
  <c r="AM193" i="6" s="1"/>
  <c r="Y63" i="5"/>
  <c r="K31" i="6" s="1"/>
  <c r="AE31" i="6" s="1"/>
  <c r="Y60" i="5"/>
  <c r="K26" i="6" s="1"/>
  <c r="AE26" i="6" s="1"/>
  <c r="Y61" i="5"/>
  <c r="K27" i="6" s="1"/>
  <c r="AE27" i="6" s="1"/>
  <c r="W23" i="5"/>
  <c r="AM91" i="5"/>
  <c r="AM90" i="5"/>
  <c r="AO88" i="5"/>
  <c r="AM86" i="5"/>
  <c r="AM51" i="5"/>
  <c r="AM50" i="5"/>
  <c r="AM49" i="5"/>
  <c r="AM48" i="5"/>
  <c r="AM47" i="5"/>
  <c r="AM46" i="5"/>
  <c r="AM34" i="5"/>
  <c r="AM35" i="5"/>
  <c r="AM36" i="5"/>
  <c r="AM37" i="5"/>
  <c r="AM38" i="5"/>
  <c r="AM33" i="5"/>
  <c r="AM85" i="5"/>
  <c r="AE94" i="6" l="1"/>
  <c r="AE82" i="6"/>
  <c r="AE80" i="6"/>
  <c r="AE93" i="6"/>
  <c r="AE81" i="6"/>
  <c r="AE92" i="6"/>
  <c r="AE91" i="6"/>
  <c r="AE90" i="6"/>
  <c r="AE87" i="6"/>
  <c r="AE98" i="6"/>
  <c r="AE97" i="6"/>
  <c r="AE89" i="6"/>
  <c r="AE99" i="6"/>
  <c r="AE88" i="6"/>
  <c r="AE86" i="6"/>
  <c r="AE85" i="6"/>
  <c r="AE96" i="6"/>
  <c r="AE84" i="6"/>
  <c r="AE95" i="6"/>
  <c r="AE83" i="6"/>
  <c r="AK98" i="6"/>
  <c r="AK86" i="6"/>
  <c r="Q90" i="6"/>
  <c r="AK95" i="6"/>
  <c r="Q81" i="6"/>
  <c r="AK97" i="6"/>
  <c r="AK85" i="6"/>
  <c r="Q91" i="6"/>
  <c r="AK84" i="6"/>
  <c r="Q92" i="6"/>
  <c r="AK83" i="6"/>
  <c r="Q93" i="6"/>
  <c r="AK96" i="6"/>
  <c r="AK94" i="6"/>
  <c r="AK82" i="6"/>
  <c r="Q82" i="6"/>
  <c r="Q94" i="6"/>
  <c r="Q85" i="6"/>
  <c r="Q86" i="6"/>
  <c r="AK93" i="6"/>
  <c r="AK81" i="6"/>
  <c r="Q83" i="6"/>
  <c r="Q95" i="6"/>
  <c r="AK90" i="6"/>
  <c r="Q98" i="6"/>
  <c r="Q87" i="6"/>
  <c r="AK92" i="6"/>
  <c r="AK80" i="6"/>
  <c r="Q84" i="6"/>
  <c r="Q96" i="6"/>
  <c r="AK91" i="6"/>
  <c r="Q97" i="6"/>
  <c r="AK89" i="6"/>
  <c r="AK88" i="6"/>
  <c r="Q88" i="6"/>
  <c r="Q80" i="6"/>
  <c r="AK99" i="6"/>
  <c r="AK87" i="6"/>
  <c r="Q89" i="6"/>
  <c r="Q99" i="6"/>
  <c r="K81" i="6"/>
  <c r="K93" i="6"/>
  <c r="K82" i="6"/>
  <c r="K94" i="6"/>
  <c r="K83" i="6"/>
  <c r="K95" i="6"/>
  <c r="K84" i="6"/>
  <c r="K96" i="6"/>
  <c r="K80" i="6"/>
  <c r="K85" i="6"/>
  <c r="K97" i="6"/>
  <c r="K89" i="6"/>
  <c r="K86" i="6"/>
  <c r="K98" i="6"/>
  <c r="K87" i="6"/>
  <c r="K99" i="6"/>
  <c r="K88" i="6"/>
  <c r="K90" i="6"/>
  <c r="K91" i="6"/>
  <c r="K92" i="6"/>
  <c r="AM84" i="5"/>
  <c r="L190" i="5" s="1"/>
  <c r="AL190" i="5" s="1"/>
  <c r="AO90" i="5"/>
  <c r="I112" i="6"/>
  <c r="AL84" i="5"/>
  <c r="AL65" i="5"/>
  <c r="AB41" i="5"/>
  <c r="X41" i="5"/>
  <c r="T41" i="5"/>
  <c r="P41" i="5"/>
  <c r="L41" i="5"/>
  <c r="AB28" i="5"/>
  <c r="X28" i="5"/>
  <c r="T28" i="5"/>
  <c r="AM101" i="5"/>
  <c r="AL101" i="5"/>
  <c r="AL93" i="5"/>
  <c r="AM93" i="5"/>
  <c r="AL94" i="5"/>
  <c r="AM94" i="5"/>
  <c r="AL95" i="5"/>
  <c r="AM95" i="5"/>
  <c r="AL96" i="5"/>
  <c r="AM96" i="5"/>
  <c r="AL97" i="5"/>
  <c r="AM97" i="5"/>
  <c r="AL98" i="5"/>
  <c r="AM98" i="5"/>
  <c r="AL99" i="5"/>
  <c r="AM99" i="5"/>
  <c r="AL100" i="5"/>
  <c r="AM100" i="5"/>
  <c r="AM92" i="5"/>
  <c r="AL92" i="5"/>
  <c r="AM73" i="5"/>
  <c r="AL73" i="5"/>
  <c r="AL71" i="5"/>
  <c r="AM67" i="5"/>
  <c r="AE106" i="5"/>
  <c r="AE105" i="5"/>
  <c r="D105" i="5"/>
  <c r="AE57" i="5"/>
  <c r="AE56" i="5"/>
  <c r="D56" i="5"/>
  <c r="J74" i="6"/>
  <c r="BK1" i="5"/>
  <c r="AM120" i="6" l="1"/>
  <c r="AM112" i="6"/>
  <c r="AO74" i="6"/>
  <c r="AO75" i="6"/>
  <c r="M190" i="6" s="1"/>
  <c r="AM190" i="6" s="1"/>
  <c r="L192" i="5"/>
  <c r="AL192" i="5" s="1"/>
  <c r="I117" i="6"/>
  <c r="I116" i="6"/>
  <c r="I115" i="6"/>
  <c r="I113" i="6"/>
  <c r="AM32" i="5"/>
  <c r="L187" i="5" s="1"/>
  <c r="AM108" i="5"/>
  <c r="AM45" i="5"/>
  <c r="L188" i="5" s="1"/>
  <c r="AM125" i="6" l="1"/>
  <c r="AM117" i="6"/>
  <c r="AM124" i="6"/>
  <c r="AM116" i="6"/>
  <c r="AM123" i="6"/>
  <c r="AM115" i="6"/>
  <c r="AM121" i="6"/>
  <c r="AM113" i="6"/>
  <c r="L196" i="5"/>
  <c r="AL196" i="5" s="1"/>
  <c r="L195" i="5"/>
  <c r="AL195" i="5" s="1"/>
  <c r="AL188" i="5"/>
  <c r="AL187" i="5"/>
  <c r="H102" i="5"/>
  <c r="AM103" i="5" s="1"/>
  <c r="L193" i="5" s="1"/>
  <c r="AL193" i="5" l="1"/>
  <c r="AL197" i="5" l="1"/>
  <c r="AL186" i="5" s="1"/>
  <c r="AM119" i="6"/>
  <c r="M192" i="6" l="1"/>
  <c r="AM192" i="6" s="1"/>
  <c r="M189" i="6" l="1"/>
  <c r="AM189" i="6" s="1"/>
  <c r="AM18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4" authorId="0" shapeId="0" xr:uid="{969BA864-3E1D-4214-90E8-1ACAC74C9097}">
      <text>
        <r>
          <rPr>
            <b/>
            <sz val="9"/>
            <color indexed="81"/>
            <rFont val="Tahoma"/>
            <family val="2"/>
          </rPr>
          <t>Note:</t>
        </r>
        <r>
          <rPr>
            <sz val="9"/>
            <color indexed="81"/>
            <rFont val="Tahoma"/>
            <family val="2"/>
          </rPr>
          <t xml:space="preserve">
Enter street address of proposed development</t>
        </r>
      </text>
    </comment>
    <comment ref="AE14" authorId="0" shapeId="0" xr:uid="{14183408-3F89-4624-A0E7-A72548885A23}">
      <text>
        <r>
          <rPr>
            <b/>
            <sz val="9"/>
            <color indexed="81"/>
            <rFont val="Tahoma"/>
            <family val="2"/>
          </rPr>
          <t>Note:</t>
        </r>
        <r>
          <rPr>
            <sz val="9"/>
            <color indexed="81"/>
            <rFont val="Tahoma"/>
            <family val="2"/>
          </rPr>
          <t xml:space="preserve">
Provide a unique BMP ID
Examples:
   Pond 1
   Pond A
   1
   A</t>
        </r>
      </text>
    </comment>
    <comment ref="AA19" authorId="0" shapeId="0" xr:uid="{26453612-1BCB-4486-BD63-245986490C03}">
      <text>
        <r>
          <rPr>
            <b/>
            <sz val="9"/>
            <color indexed="81"/>
            <rFont val="Tahoma"/>
            <family val="2"/>
          </rPr>
          <t>Note:</t>
        </r>
        <r>
          <rPr>
            <sz val="9"/>
            <color indexed="81"/>
            <rFont val="Tahoma"/>
            <family val="2"/>
          </rPr>
          <t xml:space="preserve">
If there is no EIA, enter 0</t>
        </r>
      </text>
    </comment>
    <comment ref="L29" authorId="0" shapeId="0" xr:uid="{D6F0AAC7-C2C3-4965-A0D9-1DC4E640F66A}">
      <text>
        <r>
          <rPr>
            <b/>
            <sz val="9"/>
            <color indexed="81"/>
            <rFont val="Tahoma"/>
            <family val="2"/>
          </rPr>
          <t>Note:</t>
        </r>
        <r>
          <rPr>
            <sz val="9"/>
            <color indexed="81"/>
            <rFont val="Tahoma"/>
            <family val="2"/>
          </rPr>
          <t xml:space="preserve">
Enter a unique Basin ID for each subbasin</t>
        </r>
      </text>
    </comment>
    <comment ref="L42" authorId="0" shapeId="0" xr:uid="{960EA235-FF90-4DDB-A65F-E4FE384AE5D0}">
      <text>
        <r>
          <rPr>
            <b/>
            <sz val="9"/>
            <color indexed="81"/>
            <rFont val="Tahoma"/>
            <family val="2"/>
          </rPr>
          <t>Note:</t>
        </r>
        <r>
          <rPr>
            <sz val="9"/>
            <color indexed="81"/>
            <rFont val="Tahoma"/>
            <family val="2"/>
          </rPr>
          <t xml:space="preserve">
Enter a unique Basin ID for each subbasin</t>
        </r>
      </text>
    </comment>
    <comment ref="C75" authorId="0" shapeId="0" xr:uid="{7606F0DD-2BCC-467D-9CD8-3F39D8086A9C}">
      <text>
        <r>
          <rPr>
            <b/>
            <sz val="9"/>
            <color indexed="81"/>
            <rFont val="Tahoma"/>
            <family val="2"/>
          </rPr>
          <t>Note:</t>
        </r>
        <r>
          <rPr>
            <sz val="9"/>
            <color indexed="81"/>
            <rFont val="Tahoma"/>
            <family val="2"/>
          </rPr>
          <t xml:space="preserve">
Select control structure type:  Orifice or Weir</t>
        </r>
      </text>
    </comment>
    <comment ref="O88" authorId="0" shapeId="0" xr:uid="{8A94A3A5-89DD-491A-8357-9DDE2417F559}">
      <text>
        <r>
          <rPr>
            <b/>
            <sz val="9"/>
            <color indexed="81"/>
            <rFont val="Tahoma"/>
            <family val="2"/>
          </rPr>
          <t>Note:</t>
        </r>
        <r>
          <rPr>
            <sz val="9"/>
            <color indexed="81"/>
            <rFont val="Tahoma"/>
            <family val="2"/>
          </rPr>
          <t xml:space="preserve">
Enter number in decimal format.  Example: 00.000000</t>
        </r>
      </text>
    </comment>
    <comment ref="W88" authorId="0" shapeId="0" xr:uid="{153AAA67-EC87-424B-9EEA-B6F6CCF4532E}">
      <text>
        <r>
          <rPr>
            <b/>
            <sz val="9"/>
            <color indexed="81"/>
            <rFont val="Tahoma"/>
            <family val="2"/>
          </rPr>
          <t>Note:</t>
        </r>
        <r>
          <rPr>
            <sz val="9"/>
            <color indexed="81"/>
            <rFont val="Tahoma"/>
            <family val="2"/>
          </rPr>
          <t xml:space="preserve">
Enter number in decimal format.  Example: 00.000000</t>
        </r>
      </text>
    </comment>
    <comment ref="C92" authorId="0" shapeId="0" xr:uid="{83CA26DA-EF06-47E0-9A5C-4276ABB509C1}">
      <text>
        <r>
          <rPr>
            <b/>
            <sz val="9"/>
            <color indexed="81"/>
            <rFont val="Tahoma"/>
            <family val="2"/>
          </rPr>
          <t>Note:</t>
        </r>
        <r>
          <rPr>
            <sz val="9"/>
            <color indexed="81"/>
            <rFont val="Tahoma"/>
            <family val="2"/>
          </rPr>
          <t xml:space="preserve">
Include the elevation that represents the WQv</t>
        </r>
      </text>
    </comment>
    <comment ref="F140" authorId="0" shapeId="0" xr:uid="{E9E06746-A9D5-4199-B075-0786D5050FC5}">
      <text>
        <r>
          <rPr>
            <b/>
            <sz val="9"/>
            <color indexed="81"/>
            <rFont val="Tahoma"/>
            <family val="2"/>
          </rPr>
          <t>Note:</t>
        </r>
        <r>
          <rPr>
            <sz val="9"/>
            <color indexed="81"/>
            <rFont val="Tahoma"/>
            <family val="2"/>
          </rPr>
          <t xml:space="preserve">
Enter street addres of proposed development</t>
        </r>
      </text>
    </comment>
    <comment ref="AD145" authorId="0" shapeId="0" xr:uid="{BD3F963D-CDF5-4003-B635-A3D178EE3834}">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E15" authorId="0" shapeId="0" xr:uid="{ACDA3FEA-1B0D-43E0-B4B1-267536EC64F9}">
      <text>
        <r>
          <rPr>
            <b/>
            <sz val="9"/>
            <color indexed="81"/>
            <rFont val="Tahoma"/>
            <family val="2"/>
          </rPr>
          <t>Note:</t>
        </r>
        <r>
          <rPr>
            <sz val="9"/>
            <color indexed="81"/>
            <rFont val="Tahoma"/>
            <family val="2"/>
          </rPr>
          <t xml:space="preserve">
Enter street address of proposed development</t>
        </r>
      </text>
    </comment>
    <comment ref="AE15" authorId="0" shapeId="0" xr:uid="{9FC8AE7B-CB43-4BDE-BA06-61C3AEAA15C7}">
      <text>
        <r>
          <rPr>
            <b/>
            <sz val="9"/>
            <color indexed="81"/>
            <rFont val="Tahoma"/>
            <family val="2"/>
          </rPr>
          <t>Note:</t>
        </r>
        <r>
          <rPr>
            <sz val="9"/>
            <color indexed="81"/>
            <rFont val="Tahoma"/>
            <family val="2"/>
          </rPr>
          <t xml:space="preserve">
Enter number in decimal format.  Example: 00.000000</t>
        </r>
      </text>
    </comment>
    <comment ref="AE16" authorId="0" shapeId="0" xr:uid="{E68EE989-411B-43BA-8CF6-BA8BBAC49317}">
      <text>
        <r>
          <rPr>
            <b/>
            <sz val="9"/>
            <color indexed="81"/>
            <rFont val="Tahoma"/>
            <family val="2"/>
          </rPr>
          <t>Note:</t>
        </r>
        <r>
          <rPr>
            <sz val="9"/>
            <color indexed="81"/>
            <rFont val="Tahoma"/>
            <family val="2"/>
          </rPr>
          <t xml:space="preserve">
Enter number in decimal format.  Example: -00.000000</t>
        </r>
      </text>
    </comment>
    <comment ref="E85" authorId="0" shapeId="0" xr:uid="{027B424A-98D4-462B-BD39-842430FE471B}">
      <text>
        <r>
          <rPr>
            <b/>
            <sz val="9"/>
            <color indexed="81"/>
            <rFont val="Tahoma"/>
            <family val="2"/>
          </rPr>
          <t>Note:</t>
        </r>
        <r>
          <rPr>
            <sz val="9"/>
            <color indexed="81"/>
            <rFont val="Tahoma"/>
            <family val="2"/>
          </rPr>
          <t xml:space="preserve">
Enter street address of proposed development</t>
        </r>
      </text>
    </comment>
    <comment ref="AC90" authorId="0" shapeId="0" xr:uid="{06CE3E21-BD3E-4B36-B516-4D58C95649A1}">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or provide an explanation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BDS</author>
  </authors>
  <commentList>
    <comment ref="AE26" authorId="0" shapeId="0" xr:uid="{F76BD018-022F-47CF-A1F2-E251A08B9C25}">
      <text>
        <r>
          <rPr>
            <b/>
            <sz val="9"/>
            <color indexed="81"/>
            <rFont val="Tahoma"/>
            <family val="2"/>
          </rPr>
          <t>Note:</t>
        </r>
        <r>
          <rPr>
            <sz val="9"/>
            <color indexed="81"/>
            <rFont val="Tahoma"/>
            <family val="2"/>
          </rPr>
          <t xml:space="preserve">
Units must be selected on the Design Form</t>
        </r>
      </text>
    </comment>
    <comment ref="V80" authorId="0" shapeId="0" xr:uid="{618ADD65-A033-4CF2-B077-6565CBECBC15}">
      <text>
        <r>
          <rPr>
            <b/>
            <sz val="9"/>
            <color indexed="81"/>
            <rFont val="Tahoma"/>
            <family val="2"/>
          </rPr>
          <t>Note:</t>
        </r>
        <r>
          <rPr>
            <sz val="9"/>
            <color indexed="81"/>
            <rFont val="Tahoma"/>
            <family val="2"/>
          </rPr>
          <t xml:space="preserve">
Include the elevation that represents the WQv</t>
        </r>
      </text>
    </comment>
    <comment ref="E161" authorId="0" shapeId="0" xr:uid="{CDBFE9BA-6BD3-4959-8F75-0038818DF8E4}">
      <text>
        <r>
          <rPr>
            <b/>
            <sz val="9"/>
            <color indexed="81"/>
            <rFont val="Tahoma"/>
            <family val="2"/>
          </rPr>
          <t>Note:</t>
        </r>
        <r>
          <rPr>
            <sz val="9"/>
            <color indexed="81"/>
            <rFont val="Tahoma"/>
            <family val="2"/>
          </rPr>
          <t xml:space="preserve">
Enter street addres of proposed development</t>
        </r>
      </text>
    </comment>
    <comment ref="AC166" authorId="0" shapeId="0" xr:uid="{F8192A9D-A44A-42CA-BB2D-221237250746}">
      <text>
        <r>
          <rPr>
            <b/>
            <sz val="9"/>
            <color indexed="81"/>
            <rFont val="Tahoma"/>
            <family val="2"/>
          </rPr>
          <t>Note:</t>
        </r>
        <r>
          <rPr>
            <sz val="9"/>
            <color indexed="81"/>
            <rFont val="Tahoma"/>
            <family val="2"/>
          </rPr>
          <t xml:space="preserve">
Before printing the form, check the following:
        1.  If items are highlighted in green, yellow, or orange, the form is not complete.  Provide the required information.
        2.  If comments are shown in the Automated Review Checks, resolve the comments or provide an explination in the comments section.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<sst xmlns="http://schemas.openxmlformats.org/spreadsheetml/2006/main" count="1113" uniqueCount="467">
  <si>
    <t>Development Information</t>
  </si>
  <si>
    <t>Name:</t>
  </si>
  <si>
    <t>Proposed Impervious Area (PIA)</t>
  </si>
  <si>
    <t>Pre-Development</t>
  </si>
  <si>
    <t>Curve Number:</t>
  </si>
  <si>
    <t>(WQ)</t>
  </si>
  <si>
    <t>(2-yr)</t>
  </si>
  <si>
    <t>(5-yr)</t>
  </si>
  <si>
    <t>(10-yr)</t>
  </si>
  <si>
    <t>(25-yr)</t>
  </si>
  <si>
    <t>(100-yr)</t>
  </si>
  <si>
    <t>Post-Development</t>
  </si>
  <si>
    <t>Post Total</t>
  </si>
  <si>
    <t>Pre Total</t>
  </si>
  <si>
    <t>Multi-Stage Riser</t>
  </si>
  <si>
    <t>Emergency Spillway</t>
  </si>
  <si>
    <t>Outfall Location</t>
  </si>
  <si>
    <t>Elevation</t>
  </si>
  <si>
    <t>Area</t>
  </si>
  <si>
    <t>Professional Engineer Certification</t>
  </si>
  <si>
    <t>Address:</t>
  </si>
  <si>
    <t>Date:</t>
  </si>
  <si>
    <t>Approval Status:</t>
  </si>
  <si>
    <t>Comments:</t>
  </si>
  <si>
    <t>Material</t>
  </si>
  <si>
    <t>Concrete</t>
  </si>
  <si>
    <t>Metal</t>
  </si>
  <si>
    <t>HDPP</t>
  </si>
  <si>
    <t>PVC</t>
  </si>
  <si>
    <t>HDPE</t>
  </si>
  <si>
    <t>Material:</t>
  </si>
  <si>
    <t>Other</t>
  </si>
  <si>
    <t>Select</t>
  </si>
  <si>
    <t>Shape:</t>
  </si>
  <si>
    <t>Shape</t>
  </si>
  <si>
    <t>BMP ID:</t>
  </si>
  <si>
    <t>Existing Impervious Area (EIA):</t>
  </si>
  <si>
    <t>acres</t>
  </si>
  <si>
    <r>
      <t>Water Quality Volume (WQ</t>
    </r>
    <r>
      <rPr>
        <vertAlign val="subscript"/>
        <sz val="10"/>
        <color theme="1"/>
        <rFont val="Calibri"/>
        <family val="2"/>
      </rPr>
      <t>v</t>
    </r>
    <r>
      <rPr>
        <sz val="10"/>
        <color theme="1"/>
        <rFont val="Calibri"/>
        <family val="2"/>
        <scheme val="minor"/>
      </rPr>
      <t>):</t>
    </r>
  </si>
  <si>
    <r>
      <t>ft</t>
    </r>
    <r>
      <rPr>
        <vertAlign val="superscript"/>
        <sz val="8"/>
        <color theme="1"/>
        <rFont val="Calibri"/>
        <family val="2"/>
      </rPr>
      <t>3</t>
    </r>
  </si>
  <si>
    <r>
      <t>WQ</t>
    </r>
    <r>
      <rPr>
        <vertAlign val="subscript"/>
        <sz val="10"/>
        <color theme="1"/>
        <rFont val="Calibri"/>
        <family val="2"/>
      </rPr>
      <t>v</t>
    </r>
    <r>
      <rPr>
        <sz val="10"/>
        <color theme="1"/>
        <rFont val="Calibri"/>
        <family val="2"/>
        <scheme val="minor"/>
      </rPr>
      <t xml:space="preserve"> = </t>
    </r>
  </si>
  <si>
    <t>Width:</t>
  </si>
  <si>
    <t>Inv. EL</t>
  </si>
  <si>
    <t>in</t>
  </si>
  <si>
    <t>ft</t>
  </si>
  <si>
    <t>Length:</t>
  </si>
  <si>
    <t>Top EL.:</t>
  </si>
  <si>
    <t>Crest EL.:</t>
  </si>
  <si>
    <t>Latitude:</t>
  </si>
  <si>
    <t>Longitude:</t>
  </si>
  <si>
    <t>Basin ID:</t>
  </si>
  <si>
    <t>Total Area:</t>
  </si>
  <si>
    <t>Cumulative Vol.</t>
  </si>
  <si>
    <t>Width</t>
  </si>
  <si>
    <t>Time of Concentration (min):</t>
  </si>
  <si>
    <t>Additional Impervious Area (AIA) = PIA - EIA</t>
  </si>
  <si>
    <t>AIA =</t>
  </si>
  <si>
    <t>Design</t>
  </si>
  <si>
    <t>As-Built</t>
  </si>
  <si>
    <t>Water Quality Volume (WQv)</t>
  </si>
  <si>
    <t>WQv Required:</t>
  </si>
  <si>
    <t>WQv Provided:</t>
  </si>
  <si>
    <t>Reviewed:</t>
  </si>
  <si>
    <r>
      <t>Pre Q
(ft</t>
    </r>
    <r>
      <rPr>
        <vertAlign val="superscript"/>
        <sz val="8"/>
        <color theme="1"/>
        <rFont val="Calibri"/>
        <family val="2"/>
      </rPr>
      <t>3</t>
    </r>
    <r>
      <rPr>
        <sz val="10"/>
        <color theme="1"/>
        <rFont val="Calibri"/>
        <family val="2"/>
        <scheme val="minor"/>
      </rPr>
      <t>/s)</t>
    </r>
  </si>
  <si>
    <r>
      <t>Pond In Q
(ft</t>
    </r>
    <r>
      <rPr>
        <vertAlign val="superscript"/>
        <sz val="8"/>
        <color theme="1"/>
        <rFont val="Calibri"/>
        <family val="2"/>
      </rPr>
      <t>3</t>
    </r>
    <r>
      <rPr>
        <sz val="10"/>
        <color theme="1"/>
        <rFont val="Calibri"/>
        <family val="2"/>
        <scheme val="minor"/>
      </rPr>
      <t>/s)</t>
    </r>
  </si>
  <si>
    <r>
      <t>Pond Out 
Q (ft</t>
    </r>
    <r>
      <rPr>
        <vertAlign val="superscript"/>
        <sz val="8"/>
        <color theme="1"/>
        <rFont val="Calibri"/>
        <family val="2"/>
      </rPr>
      <t>3</t>
    </r>
    <r>
      <rPr>
        <sz val="10"/>
        <color theme="1"/>
        <rFont val="Calibri"/>
        <family val="2"/>
        <scheme val="minor"/>
      </rPr>
      <t>/s)</t>
    </r>
  </si>
  <si>
    <r>
      <t>Total Post 
Q (ft</t>
    </r>
    <r>
      <rPr>
        <vertAlign val="superscript"/>
        <sz val="8"/>
        <color theme="1"/>
        <rFont val="Calibri"/>
        <family val="2"/>
      </rPr>
      <t>3</t>
    </r>
    <r>
      <rPr>
        <sz val="10"/>
        <color theme="1"/>
        <rFont val="Calibri"/>
        <family val="2"/>
        <scheme val="minor"/>
      </rPr>
      <t>/s)</t>
    </r>
  </si>
  <si>
    <t>Type</t>
  </si>
  <si>
    <t>Enter data as applicable for the proposed design.</t>
  </si>
  <si>
    <t>General Instructions</t>
  </si>
  <si>
    <t>If a field is highlighted yellow after a number is entered, the yellow highlight may indicate an error and/or concern.  Once the error and/or concern is resolved, the yellow highlight will be removed.  All yellow highlighted cells shall be resolved or an explanitation provided prior to completing the form.</t>
  </si>
  <si>
    <t>Field Types</t>
  </si>
  <si>
    <t>Supplemental Instructions</t>
  </si>
  <si>
    <t>Use the drop down list to select a shape.</t>
  </si>
  <si>
    <t>Riprap</t>
  </si>
  <si>
    <t>Earthen</t>
  </si>
  <si>
    <t>Geotextile</t>
  </si>
  <si>
    <t>Total Post Q &gt; Pre Q</t>
  </si>
  <si>
    <t>Max Stage</t>
  </si>
  <si>
    <t>Total Post</t>
  </si>
  <si>
    <t>Post Total not completed</t>
  </si>
  <si>
    <t>Length</t>
  </si>
  <si>
    <t>Crest</t>
  </si>
  <si>
    <t>Top</t>
  </si>
  <si>
    <t>E. Spillway</t>
  </si>
  <si>
    <t>Design Response</t>
  </si>
  <si>
    <t>Emergency Spillway Section not completed</t>
  </si>
  <si>
    <t>Max Stage:</t>
  </si>
  <si>
    <t>Automated Review Checks</t>
  </si>
  <si>
    <t>Form Section</t>
  </si>
  <si>
    <t>Pre-Development:</t>
  </si>
  <si>
    <t>Post-Development:</t>
  </si>
  <si>
    <t>Emergency Spillway:</t>
  </si>
  <si>
    <t>Pond Discharge Summary:</t>
  </si>
  <si>
    <t>Total Post Q:</t>
  </si>
  <si>
    <t>Photographs, at a minimum, shall include the following:</t>
  </si>
  <si>
    <t>The developer / owner shall retain the services of a professional land surveyor to:</t>
  </si>
  <si>
    <t>Develop an as-built drawing.</t>
  </si>
  <si>
    <t>a.</t>
  </si>
  <si>
    <t>b.</t>
  </si>
  <si>
    <t>The developer shall retain the services of a professional engineer to:</t>
  </si>
  <si>
    <t>Photographs</t>
  </si>
  <si>
    <t>Storm sewers showing pipes, inlets, junction boxes, outlets, outlet protection, and invert elevations</t>
  </si>
  <si>
    <t>Detail of emergency spillway showing elevations and dimensions</t>
  </si>
  <si>
    <t>Outlet pipe discharge location and outlet protection</t>
  </si>
  <si>
    <t>Emergency spillway and discharge location</t>
  </si>
  <si>
    <t>Prior to approval of the Final Plat.</t>
  </si>
  <si>
    <t>Provide ALL required attachments:</t>
  </si>
  <si>
    <t>As-built survey, at a minimum, shall include the following:</t>
  </si>
  <si>
    <t>The issuance of a Certificate of Occupancy; and/or,</t>
  </si>
  <si>
    <t>e.</t>
  </si>
  <si>
    <t>c.</t>
  </si>
  <si>
    <t>d.</t>
  </si>
  <si>
    <t>f.</t>
  </si>
  <si>
    <t>•</t>
  </si>
  <si>
    <t>Outfall Location:</t>
  </si>
  <si>
    <t>Latitude and/or Longitude not provided</t>
  </si>
  <si>
    <t>Max Stage for 2, 5, 10, and/or 25-year storm  &gt; Emergency Spillway Crest Elevation</t>
  </si>
  <si>
    <t xml:space="preserve">This is a calculated field.  Once the required information is entered, the orange highlight will be removed. </t>
  </si>
  <si>
    <t>Use the drop down list to select a material.</t>
  </si>
  <si>
    <t>Pond Top EL.:</t>
  </si>
  <si>
    <t>Review Status</t>
  </si>
  <si>
    <t>General design standards and requirements shall be as follows:</t>
  </si>
  <si>
    <t xml:space="preserve"> As-built Survey</t>
  </si>
  <si>
    <t xml:space="preserve"> As-built H&amp;H Calculations</t>
  </si>
  <si>
    <t xml:space="preserve"> O&amp;M Agreement</t>
  </si>
  <si>
    <t>Attachments:</t>
  </si>
  <si>
    <t xml:space="preserve"> Photos</t>
  </si>
  <si>
    <t xml:space="preserve"> Yes</t>
  </si>
  <si>
    <t xml:space="preserve"> No</t>
  </si>
  <si>
    <t xml:space="preserve"> Approved</t>
  </si>
  <si>
    <t xml:space="preserve"> Approved Contingent</t>
  </si>
  <si>
    <t xml:space="preserve"> Denied</t>
  </si>
  <si>
    <t xml:space="preserve"> Incomplete</t>
  </si>
  <si>
    <r>
      <t>Pre Q
(ft</t>
    </r>
    <r>
      <rPr>
        <vertAlign val="superscript"/>
        <sz val="9"/>
        <color theme="1"/>
        <rFont val="Calibri"/>
        <family val="2"/>
      </rPr>
      <t>3</t>
    </r>
    <r>
      <rPr>
        <sz val="9"/>
        <color theme="1"/>
        <rFont val="Calibri"/>
        <family val="2"/>
        <scheme val="minor"/>
      </rPr>
      <t>/s)</t>
    </r>
  </si>
  <si>
    <r>
      <t>Pond In Q
(ft</t>
    </r>
    <r>
      <rPr>
        <vertAlign val="superscript"/>
        <sz val="9"/>
        <color theme="1"/>
        <rFont val="Calibri"/>
        <family val="2"/>
      </rPr>
      <t>3</t>
    </r>
    <r>
      <rPr>
        <sz val="9"/>
        <color theme="1"/>
        <rFont val="Calibri"/>
        <family val="2"/>
        <scheme val="minor"/>
      </rPr>
      <t>/s)</t>
    </r>
  </si>
  <si>
    <r>
      <t>Pond Out 
Q (ft</t>
    </r>
    <r>
      <rPr>
        <vertAlign val="superscript"/>
        <sz val="9"/>
        <color theme="1"/>
        <rFont val="Calibri"/>
        <family val="2"/>
      </rPr>
      <t>3</t>
    </r>
    <r>
      <rPr>
        <sz val="9"/>
        <color theme="1"/>
        <rFont val="Calibri"/>
        <family val="2"/>
        <scheme val="minor"/>
      </rPr>
      <t>/s)</t>
    </r>
  </si>
  <si>
    <r>
      <t>Total Post 
Q (ft</t>
    </r>
    <r>
      <rPr>
        <vertAlign val="superscript"/>
        <sz val="9"/>
        <color theme="1"/>
        <rFont val="Calibri"/>
        <family val="2"/>
      </rPr>
      <t>3</t>
    </r>
    <r>
      <rPr>
        <sz val="9"/>
        <color theme="1"/>
        <rFont val="Calibri"/>
        <family val="2"/>
        <scheme val="minor"/>
      </rPr>
      <t>/s)</t>
    </r>
  </si>
  <si>
    <t xml:space="preserve"> Design Drawings</t>
  </si>
  <si>
    <t xml:space="preserve"> H&amp;H Calculations</t>
  </si>
  <si>
    <t xml:space="preserve"> Drainage Basin Maps</t>
  </si>
  <si>
    <t>Drainage Area (acre):</t>
  </si>
  <si>
    <t>Owner's Information</t>
  </si>
  <si>
    <t xml:space="preserve"> Not Applicable</t>
  </si>
  <si>
    <t xml:space="preserve">Name: </t>
  </si>
  <si>
    <t xml:space="preserve">Address: </t>
  </si>
  <si>
    <t xml:space="preserve">Email: </t>
  </si>
  <si>
    <t xml:space="preserve">HOA Name: </t>
  </si>
  <si>
    <t xml:space="preserve">State: </t>
  </si>
  <si>
    <t xml:space="preserve">Zip Code: </t>
  </si>
  <si>
    <t xml:space="preserve">Phone: </t>
  </si>
  <si>
    <t xml:space="preserve">Title: </t>
  </si>
  <si>
    <t xml:space="preserve">Detail Attached: </t>
  </si>
  <si>
    <t>No</t>
  </si>
  <si>
    <t>Lat</t>
  </si>
  <si>
    <t>Long</t>
  </si>
  <si>
    <t>Lat &amp; Long</t>
  </si>
  <si>
    <r>
      <t>WQ</t>
    </r>
    <r>
      <rPr>
        <vertAlign val="subscript"/>
        <sz val="10"/>
        <color theme="1"/>
        <rFont val="Calibri"/>
        <family val="2"/>
        <scheme val="minor"/>
      </rPr>
      <t>v</t>
    </r>
    <r>
      <rPr>
        <sz val="10"/>
        <color theme="1"/>
        <rFont val="Calibri"/>
        <family val="2"/>
        <scheme val="minor"/>
      </rPr>
      <t>:</t>
    </r>
  </si>
  <si>
    <r>
      <t>WQ</t>
    </r>
    <r>
      <rPr>
        <vertAlign val="subscript"/>
        <sz val="11"/>
        <color theme="1"/>
        <rFont val="Calibri"/>
        <family val="2"/>
        <scheme val="minor"/>
      </rPr>
      <t>v</t>
    </r>
    <r>
      <rPr>
        <sz val="11"/>
        <color theme="1"/>
        <rFont val="Calibri"/>
        <family val="2"/>
        <scheme val="minor"/>
      </rPr>
      <t xml:space="preserve"> Required &gt; WQ</t>
    </r>
    <r>
      <rPr>
        <vertAlign val="subscript"/>
        <sz val="11"/>
        <color theme="1"/>
        <rFont val="Calibri"/>
        <family val="2"/>
        <scheme val="minor"/>
      </rPr>
      <t>v</t>
    </r>
    <r>
      <rPr>
        <sz val="11"/>
        <color theme="1"/>
        <rFont val="Calibri"/>
        <family val="2"/>
        <scheme val="minor"/>
      </rPr>
      <t xml:space="preserve"> Provided</t>
    </r>
  </si>
  <si>
    <t>WQv</t>
  </si>
  <si>
    <t>Pre Q</t>
  </si>
  <si>
    <t>Pond In Q</t>
  </si>
  <si>
    <t>Pre Q:</t>
  </si>
  <si>
    <t>Pond In Q:</t>
  </si>
  <si>
    <t>Montgomery</t>
  </si>
  <si>
    <t>Hoover</t>
  </si>
  <si>
    <t>Prattville</t>
  </si>
  <si>
    <t>Mobile</t>
  </si>
  <si>
    <t xml:space="preserve">Select City: </t>
  </si>
  <si>
    <t>Retention Pond</t>
  </si>
  <si>
    <t xml:space="preserve">Max. Pool EL: </t>
  </si>
  <si>
    <t xml:space="preserve">Normal Pool EL: </t>
  </si>
  <si>
    <t xml:space="preserve"> ac, ac-ft</t>
  </si>
  <si>
    <t xml:space="preserve">Pond Bottom EL: </t>
  </si>
  <si>
    <t xml:space="preserve">Pond Surface Area: </t>
  </si>
  <si>
    <t xml:space="preserve">Pond Volume: </t>
  </si>
  <si>
    <t xml:space="preserve">Forebay Volume: </t>
  </si>
  <si>
    <t xml:space="preserve">Select Units: </t>
  </si>
  <si>
    <t xml:space="preserve">Anti-seep Collar: </t>
  </si>
  <si>
    <t xml:space="preserve">Trash Rack: </t>
  </si>
  <si>
    <t xml:space="preserve">Pond Drain: </t>
  </si>
  <si>
    <t xml:space="preserve">Drain Valve: </t>
  </si>
  <si>
    <t xml:space="preserve"> ft, sq-ft, cu-ft</t>
  </si>
  <si>
    <t>Specific requirements for stormwater retention (wet) ponds:</t>
  </si>
  <si>
    <t>Maximum side slope steepness shall be 3 horizontal to 1 vertical (3:1);</t>
  </si>
  <si>
    <t>Sides and banks shall be grassed or paved;</t>
  </si>
  <si>
    <t xml:space="preserve">Access Road: </t>
  </si>
  <si>
    <t xml:space="preserve">Bottom EL: </t>
  </si>
  <si>
    <t xml:space="preserve">Surface Area: </t>
  </si>
  <si>
    <t xml:space="preserve">Forebay: </t>
  </si>
  <si>
    <t xml:space="preserve">Fence: </t>
  </si>
  <si>
    <t>Yes</t>
  </si>
  <si>
    <t xml:space="preserve">Valve: </t>
  </si>
  <si>
    <t xml:space="preserve">WQv Orifice: </t>
  </si>
  <si>
    <t xml:space="preserve">Outlet Pipe: </t>
  </si>
  <si>
    <t xml:space="preserve">Bottom EL.: </t>
  </si>
  <si>
    <t xml:space="preserve">Width: </t>
  </si>
  <si>
    <t xml:space="preserve">Diameter: </t>
  </si>
  <si>
    <t xml:space="preserve">Material: </t>
  </si>
  <si>
    <t xml:space="preserve">Shape: </t>
  </si>
  <si>
    <t xml:space="preserve">Length: </t>
  </si>
  <si>
    <t xml:space="preserve">Top EL.: </t>
  </si>
  <si>
    <t>Round</t>
  </si>
  <si>
    <t>Rectangle</t>
  </si>
  <si>
    <t>Trapezoid</t>
  </si>
  <si>
    <t>Square</t>
  </si>
  <si>
    <t xml:space="preserve"> Photographs</t>
  </si>
  <si>
    <t>Development Information:</t>
  </si>
  <si>
    <t xml:space="preserve">Date: </t>
  </si>
  <si>
    <t xml:space="preserve">BMP ID: </t>
  </si>
  <si>
    <t xml:space="preserve">Latitude: </t>
  </si>
  <si>
    <t xml:space="preserve">Longitude: </t>
  </si>
  <si>
    <t xml:space="preserve">Contact: </t>
  </si>
  <si>
    <t xml:space="preserve">Company: </t>
  </si>
  <si>
    <t xml:space="preserve">Signature: </t>
  </si>
  <si>
    <t xml:space="preserve">WQv Pool EL: </t>
  </si>
  <si>
    <t>Use the as-built survey data to complete Form 3B – Retention Pond As-built Certification Form;</t>
  </si>
  <si>
    <t>Perform a field survey of the constructed retention pond; and,</t>
  </si>
  <si>
    <t>Form 3B - Retention Pond
As-Built Certification Form</t>
  </si>
  <si>
    <t xml:space="preserve">Comments: </t>
  </si>
  <si>
    <t xml:space="preserve">Select: </t>
  </si>
  <si>
    <t xml:space="preserve">Orifice: </t>
  </si>
  <si>
    <t xml:space="preserve">Crest EL: </t>
  </si>
  <si>
    <t xml:space="preserve">Attachments: </t>
  </si>
  <si>
    <t xml:space="preserve">Buildings / Structures: </t>
  </si>
  <si>
    <t xml:space="preserve">Driveways / Sidewalks: </t>
  </si>
  <si>
    <t xml:space="preserve">Roads: </t>
  </si>
  <si>
    <t xml:space="preserve">Parking: </t>
  </si>
  <si>
    <t xml:space="preserve">Other: </t>
  </si>
  <si>
    <t xml:space="preserve">Total PIA: </t>
  </si>
  <si>
    <t>Select either "Yes" or "No" by placing an "X" in the appropriate box.  Once an "X" is entered, the green highlight will be removed.</t>
  </si>
  <si>
    <t>Automated Review Checks:  Once information and data are entered into the form, the form will check the information entered and identify any potential issues or concerns.  Prior to printing the form, all automated comments shall be resolved.</t>
  </si>
  <si>
    <t>Automated Comments</t>
  </si>
  <si>
    <t>The Supplemental Instructions provide additional guidance and design standards.</t>
  </si>
  <si>
    <t>Once the Design, As-built, or Inspection Forms are completed, there should be no green, yellow, or orange highlighted fields.</t>
  </si>
  <si>
    <t>Provide a low flow ditch in the bottom of the retention pond;</t>
  </si>
  <si>
    <t xml:space="preserve">General overview of the retention pond </t>
  </si>
  <si>
    <t>Pipes that discharge into the retention pond</t>
  </si>
  <si>
    <t>Location where retention pond discharges into receiving stream, culvert, or channel</t>
  </si>
  <si>
    <t>Revision Date:</t>
  </si>
  <si>
    <t>Page 1 of 4</t>
  </si>
  <si>
    <t>Page 4 of 4</t>
  </si>
  <si>
    <t>Page 3 of 4</t>
  </si>
  <si>
    <t>Page 2 of 4</t>
  </si>
  <si>
    <t>Jefferson</t>
  </si>
  <si>
    <t>Velocity
(ft/s)</t>
  </si>
  <si>
    <t>Velocity:</t>
  </si>
  <si>
    <t>Effective Date:</t>
  </si>
  <si>
    <t>1 February 2020</t>
  </si>
  <si>
    <t>1 October 2020</t>
  </si>
  <si>
    <t>1 October 2015</t>
  </si>
  <si>
    <t>1 July 2018</t>
  </si>
  <si>
    <t>Type:</t>
  </si>
  <si>
    <t>City</t>
  </si>
  <si>
    <t>County</t>
  </si>
  <si>
    <t>Maintenance Agreement:</t>
  </si>
  <si>
    <t xml:space="preserve"> Covenant</t>
  </si>
  <si>
    <t>Entity Type:</t>
  </si>
  <si>
    <t>Registration</t>
  </si>
  <si>
    <t>Acronym</t>
  </si>
  <si>
    <t>Certified Erosion, Sediment and Stormwater Inspector</t>
  </si>
  <si>
    <t xml:space="preserve">CESSWI No.: </t>
  </si>
  <si>
    <t>Certified Professional in Erosion and Sediment Control</t>
  </si>
  <si>
    <t xml:space="preserve">CPESC No.: </t>
  </si>
  <si>
    <t>Certified Professional in Municipal Stormwater Management</t>
  </si>
  <si>
    <t xml:space="preserve">CPMSM No.: </t>
  </si>
  <si>
    <t>Certified Professional in Stormwater Quality</t>
  </si>
  <si>
    <t xml:space="preserve">CPSWQ No.: </t>
  </si>
  <si>
    <t>Professional Engineer</t>
  </si>
  <si>
    <t xml:space="preserve">PE No.: </t>
  </si>
  <si>
    <t>Qualified Credentialed Inspector</t>
  </si>
  <si>
    <t xml:space="preserve">QCI No.: </t>
  </si>
  <si>
    <t>Provides the required water quality volume (WQv);</t>
  </si>
  <si>
    <t xml:space="preserve">Post-development runoff mimics pre-development hydrology to the maximum extent practicable (MEP). </t>
  </si>
  <si>
    <t>By affixing my professional seal and signature on this form, I hereby certify that the retention pond:</t>
  </si>
  <si>
    <t>Drainage areas shown in the hydrology and hydraulic (H&amp;H) calculations drain into the retention pond; and,</t>
  </si>
  <si>
    <t>Velocity</t>
  </si>
  <si>
    <t>By affixing my professional seal and signature on this form, I hereby certify that the retention pond has been constructed in accordance with the approved design.  I further certify that the drainage areas shown in the approved hydrology and hydraulic (H&amp;H) calculations do in fact drain into the retention pond and that the post-development runoff mimics pre-development hydrology to the maximum extent practicable (MEP).</t>
  </si>
  <si>
    <t xml:space="preserve"> As-Built Survey Drawing(s)</t>
  </si>
  <si>
    <t>Printing the form may require some adjustments to the print settings for the printer being used.</t>
  </si>
  <si>
    <t>of the development;</t>
  </si>
  <si>
    <t>The calculation methodology shall utilize the National Resource Conservation Resources (NRCS)</t>
  </si>
  <si>
    <t>Urban Hydrology for Small Watersheds Technical Release 55 (TR-55) or equivalent as approved</t>
  </si>
  <si>
    <t>All applicable developments shall be responsible for ensuring that post-development hydrology mimics</t>
  </si>
  <si>
    <t>will not adversely impact and/or cause flooding of structures within the development;</t>
  </si>
  <si>
    <t>Filtration system for the WQv Orifice shall allow the volume of stormwater associated with the WQv</t>
  </si>
  <si>
    <t>to drain slowly from the retention pond within a 48-hour period;</t>
  </si>
  <si>
    <t xml:space="preserve">Maximum water surface elevation in reservoir shall be two-feet or greater below the lowest floor elevation </t>
  </si>
  <si>
    <t>of adjacent structure(s);</t>
  </si>
  <si>
    <t>Retention ponds located in residential subdivisions shall be enclosed with a minimum four-foot high black,</t>
  </si>
  <si>
    <t>vinyl coated chain link fence.  Gate(s) with locks shall be provided for maintenance access.</t>
  </si>
  <si>
    <t>Site features to include but not limited to roads, rights-of-way, property lines, driveways, buildings, parking</t>
  </si>
  <si>
    <t>areas, fences, retaining walls, dumpster pads, etc.</t>
  </si>
  <si>
    <t>outlet pipe, WQ filter, etc.</t>
  </si>
  <si>
    <t>Home Owners Association (HOA) Information</t>
  </si>
  <si>
    <t>Current Logo</t>
  </si>
  <si>
    <t>None:</t>
  </si>
  <si>
    <t>This is a required field.  Once a number or text is entered, the green highlight will be removed.</t>
  </si>
  <si>
    <t>Max Elev.
(ft)</t>
  </si>
  <si>
    <t>Emergency Spillway Freeboard:</t>
  </si>
  <si>
    <t>Freeboard  &lt;  1.0 ft</t>
  </si>
  <si>
    <t xml:space="preserve">City: </t>
  </si>
  <si>
    <t xml:space="preserve">Pond Top EL.: </t>
  </si>
  <si>
    <r>
      <t>WQ</t>
    </r>
    <r>
      <rPr>
        <vertAlign val="subscript"/>
        <sz val="15"/>
        <color theme="1"/>
        <rFont val="Calibri"/>
        <family val="2"/>
      </rPr>
      <t>v</t>
    </r>
    <r>
      <rPr>
        <sz val="10"/>
        <color theme="1"/>
        <rFont val="Calibri"/>
        <family val="2"/>
        <scheme val="minor"/>
      </rPr>
      <t xml:space="preserve"> Required: </t>
    </r>
  </si>
  <si>
    <r>
      <t>WQ</t>
    </r>
    <r>
      <rPr>
        <vertAlign val="subscript"/>
        <sz val="15"/>
        <color theme="1"/>
        <rFont val="Calibri"/>
        <family val="2"/>
      </rPr>
      <t>v</t>
    </r>
    <r>
      <rPr>
        <sz val="10"/>
        <color theme="1"/>
        <rFont val="Calibri"/>
        <family val="2"/>
        <scheme val="minor"/>
      </rPr>
      <t xml:space="preserve"> Provided: </t>
    </r>
  </si>
  <si>
    <t xml:space="preserve">Elevation: </t>
  </si>
  <si>
    <t>Comments?</t>
  </si>
  <si>
    <t>Elevation:</t>
  </si>
  <si>
    <t>Pre Total not completed</t>
  </si>
  <si>
    <t>V-notch</t>
  </si>
  <si>
    <t>Permit Type:</t>
  </si>
  <si>
    <t>Max Velocity:</t>
  </si>
  <si>
    <t>Lookup Table</t>
  </si>
  <si>
    <t>Dia./Width/Deg</t>
  </si>
  <si>
    <t>Height</t>
  </si>
  <si>
    <t>Max Velocity</t>
  </si>
  <si>
    <t>Engineering or Building No.</t>
  </si>
  <si>
    <t>Post &lt; 0.5</t>
  </si>
  <si>
    <t xml:space="preserve">Weir: </t>
  </si>
  <si>
    <t>Rainfall depths were obtained from NOAA Atlas 14, Volume 9, Version 2.</t>
  </si>
  <si>
    <t>Complete Design Form with the required design information.  Once the Design Form is completed, most of the Design section of the As-built Form will be prepopulated.</t>
  </si>
  <si>
    <t>Use the drop down list to select an orifice or weir.</t>
  </si>
  <si>
    <t>Will not adversely impact and/or cause flooding of structures within the development and downstream</t>
  </si>
  <si>
    <t>No. Taken</t>
  </si>
  <si>
    <t>Date</t>
  </si>
  <si>
    <t>g.</t>
  </si>
  <si>
    <t xml:space="preserve">Contact Name: </t>
  </si>
  <si>
    <t>This is a required field.  Place an "X" in the appropriate box and the green highlight will be removed.  In some cases, the selection is optional.  Once an option is completed, additional fields may be highlighted green and in some fields the green highlight will be removed.</t>
  </si>
  <si>
    <t>Drainage basin maps shall show:</t>
  </si>
  <si>
    <t>Provide a drainage basin map for existing conditions</t>
  </si>
  <si>
    <t>Provide a drainage basin map for proposed conditions</t>
  </si>
  <si>
    <t>Property boundary</t>
  </si>
  <si>
    <t>Drainage basins included with the H&amp;H study</t>
  </si>
  <si>
    <t>Contours with adequate contour lables</t>
  </si>
  <si>
    <t>Structures, roads, storm sewer, utilities, drainage easements and other site features</t>
  </si>
  <si>
    <t xml:space="preserve">Pathways used for calculating Time of Concentration (Tc) </t>
  </si>
  <si>
    <t>h.</t>
  </si>
  <si>
    <t>Adjacent properties and site features where stormwater will be discharged from the proposed development</t>
  </si>
  <si>
    <t xml:space="preserve">Insp Report Due: </t>
  </si>
  <si>
    <t>30 Septbember</t>
  </si>
  <si>
    <t>1 September</t>
  </si>
  <si>
    <t>management requirements have been met.</t>
  </si>
  <si>
    <t>If a retention pond encroaches on a floodplain, provide documentaiton showing that all floodplain</t>
  </si>
  <si>
    <t>A retention pond shall not be constructed within the floodway;</t>
  </si>
  <si>
    <t>Installation of a retention pond shall not adversely impact and/or cause flooding</t>
  </si>
  <si>
    <t>of properties located within, upstream, and/or downstream of the development;</t>
  </si>
  <si>
    <t>A stormwater pathway (i.e. piped storm sewer, overland flow, etc.) within the development shall</t>
  </si>
  <si>
    <t>be provided to convey the discharge resulting from a 100-year, 24-hour storm event in a manner that</t>
  </si>
  <si>
    <t>The principal spillway for a retention pond shall be sized to convey the 25-year, 24-hour storm event</t>
  </si>
  <si>
    <t>without allowing any discharge from the emergency spillway;</t>
  </si>
  <si>
    <t>A retention pond shall provide for an emergency spillway designed to convey the discharge resulting from</t>
  </si>
  <si>
    <t>a 100-year, 24-hour storm event.  A minimum freeboard of 1-foot above the maximum stage anticipated</t>
  </si>
  <si>
    <t>in the retention pond shall be provided to prevent overtopping;</t>
  </si>
  <si>
    <t>H&amp;H studies for a retention pond shall include model network, existing drainage areas, proposed drainage</t>
  </si>
  <si>
    <t>areas, time of concentration, curve number, pre-development peak discharges, post-development peak</t>
  </si>
  <si>
    <t>discharges, outlet structure geometry, emergency spillway geometry, pond stage-area storage summary,</t>
  </si>
  <si>
    <t>pond discharge summary, inflow and outflow hydrographs, and outlet pipe velocities.</t>
  </si>
  <si>
    <t xml:space="preserve">WQ Filter: </t>
  </si>
  <si>
    <t xml:space="preserve">Seal: </t>
  </si>
  <si>
    <t>Location of the retention pond, contours, contour labels, spot elevations, outlet control structure, outlet pipe,</t>
  </si>
  <si>
    <t>emergency spillway, and outlet protection</t>
  </si>
  <si>
    <t>Detail of the outlet control structure showing elevations and dimensions of multi-stage riser, orifices, weirs,</t>
  </si>
  <si>
    <t>g</t>
  </si>
  <si>
    <t>Outlet control structure showing multi-stage riser, orifices, weirs, outlet pipe, and WQ filter</t>
  </si>
  <si>
    <t>ENG No.</t>
  </si>
  <si>
    <t>General overview</t>
  </si>
  <si>
    <t>Retention pond outfall</t>
  </si>
  <si>
    <t>Emergency spillway</t>
  </si>
  <si>
    <t>Outfall to receiving stream / storm sewer</t>
  </si>
  <si>
    <t>Insp Report Due:</t>
  </si>
  <si>
    <t>Units</t>
  </si>
  <si>
    <t>Volume</t>
  </si>
  <si>
    <t>(50-yr)</t>
  </si>
  <si>
    <t>Arch</t>
  </si>
  <si>
    <t>Elliptical</t>
  </si>
  <si>
    <t>Units Check</t>
  </si>
  <si>
    <t>Storms:</t>
  </si>
  <si>
    <t>2, 5, 10, 25, 50, and 100</t>
  </si>
  <si>
    <r>
      <t>Total Post Q is &lt; -0.50 ft</t>
    </r>
    <r>
      <rPr>
        <vertAlign val="superscript"/>
        <sz val="10.8"/>
        <color theme="1"/>
        <rFont val="Calibri"/>
        <family val="2"/>
      </rPr>
      <t>3</t>
    </r>
    <r>
      <rPr>
        <sz val="11"/>
        <color theme="1"/>
        <rFont val="Calibri"/>
        <family val="2"/>
        <scheme val="minor"/>
      </rPr>
      <t>/s of Pre Q</t>
    </r>
  </si>
  <si>
    <t>storm event; and,</t>
  </si>
  <si>
    <t>2, 5, 10, and 25</t>
  </si>
  <si>
    <t>Form 2B.1 - Retention Pond
Design Form</t>
  </si>
  <si>
    <t>The Master Plan shall include the following information:</t>
  </si>
  <si>
    <t>Property boundaries</t>
  </si>
  <si>
    <t>Conceptual lot layout by use type (i.e. residential, commercial, open space, etc.)</t>
  </si>
  <si>
    <t>Proposed roads</t>
  </si>
  <si>
    <t xml:space="preserve"> Master Plan</t>
  </si>
  <si>
    <t xml:space="preserve">Select Development Type: </t>
  </si>
  <si>
    <t xml:space="preserve"> Residential</t>
  </si>
  <si>
    <t xml:space="preserve">Number of Phases: </t>
  </si>
  <si>
    <t xml:space="preserve"> Final Plat</t>
  </si>
  <si>
    <t xml:space="preserve"> Commercial</t>
  </si>
  <si>
    <t xml:space="preserve">Number of Lots: </t>
  </si>
  <si>
    <t>Will all Phases or Lots be a member of the association?</t>
  </si>
  <si>
    <t xml:space="preserve"> ac</t>
  </si>
  <si>
    <t xml:space="preserve"> sq-ft</t>
  </si>
  <si>
    <t>Imp. Area</t>
  </si>
  <si>
    <t xml:space="preserve">   Discharges to Pond?</t>
  </si>
  <si>
    <t>Pond</t>
  </si>
  <si>
    <t>%</t>
  </si>
  <si>
    <t xml:space="preserve">Total: </t>
  </si>
  <si>
    <t>Page 1 of 2</t>
  </si>
  <si>
    <t>Page 2 of 2</t>
  </si>
  <si>
    <t>Form 2B.2 - Retention Pond
Design Form Attachment</t>
  </si>
  <si>
    <t>By affixing my professional seal and signature on this form, I hereby certify that the proposed retention pond was designed</t>
  </si>
  <si>
    <t>to accommodate the Phases and/or Lots included in this attachment.</t>
  </si>
  <si>
    <t>Location of retention pond</t>
  </si>
  <si>
    <t>Slope</t>
  </si>
  <si>
    <t xml:space="preserve">Hydrologic Soil Group: </t>
  </si>
  <si>
    <t xml:space="preserve"> A</t>
  </si>
  <si>
    <t xml:space="preserve"> B</t>
  </si>
  <si>
    <t xml:space="preserve"> C</t>
  </si>
  <si>
    <t xml:space="preserve"> D</t>
  </si>
  <si>
    <r>
      <t>Peak Discharge (ft</t>
    </r>
    <r>
      <rPr>
        <vertAlign val="superscript"/>
        <sz val="8"/>
        <color theme="1"/>
        <rFont val="Calibri"/>
        <family val="2"/>
      </rPr>
      <t>3</t>
    </r>
    <r>
      <rPr>
        <sz val="10"/>
        <color theme="1"/>
        <rFont val="Calibri"/>
        <family val="2"/>
        <scheme val="minor"/>
      </rPr>
      <t>/s)</t>
    </r>
  </si>
  <si>
    <t xml:space="preserve">Mass Grading? </t>
  </si>
  <si>
    <t xml:space="preserve">Structural fill? </t>
  </si>
  <si>
    <t>Is the retention pond located on a separate lot?</t>
  </si>
  <si>
    <t>Flooding</t>
  </si>
  <si>
    <t>Form 2B.2 - Retention Pond Design Form Attachment is attached?</t>
  </si>
  <si>
    <t>Design Questions</t>
  </si>
  <si>
    <t>Gas easement?</t>
  </si>
  <si>
    <t xml:space="preserve">Supporting Documents Attached?  </t>
  </si>
  <si>
    <t>Power easement?</t>
  </si>
  <si>
    <t>Sanitary sewer easement?</t>
  </si>
  <si>
    <t>Water easement?</t>
  </si>
  <si>
    <t>Telecommunications easement?</t>
  </si>
  <si>
    <t>Railroad rights-of-way?</t>
  </si>
  <si>
    <t>ALDOT rights-of-way?</t>
  </si>
  <si>
    <t>Streams and/or wetlands?</t>
  </si>
  <si>
    <t>Floodplain?</t>
  </si>
  <si>
    <t>Other?</t>
  </si>
  <si>
    <t>Have post-construction CNs been adjusted to account for mass grading?</t>
  </si>
  <si>
    <t>Does the retention pond discharge into an existing storm sewer (i.e. pipe, concrete swale, etc.)?</t>
  </si>
  <si>
    <t>Will the retention pond be maintained by an association?</t>
  </si>
  <si>
    <t>Total</t>
  </si>
  <si>
    <t>Does the project drain to an area of known flooding?</t>
  </si>
  <si>
    <t xml:space="preserve">Does the project drain onto an adjacent property? </t>
  </si>
  <si>
    <t>Adj Property</t>
  </si>
  <si>
    <t xml:space="preserve">Design Form Date: </t>
  </si>
  <si>
    <t>Will future development phases discharge into the retention pond?  Complete Form 2B.2.</t>
  </si>
  <si>
    <t>31 December</t>
  </si>
  <si>
    <t>Caption, date, and/or description on all photographs?</t>
  </si>
  <si>
    <t>Storm sewer pipes discharging into retention pond</t>
  </si>
  <si>
    <t>As-Built does not match Design, provide a reason in the Comments section</t>
  </si>
  <si>
    <t>Caption identifying the date, location, and description of the photograph</t>
  </si>
  <si>
    <t>Photographs:</t>
  </si>
  <si>
    <t>Qualified Professional</t>
  </si>
  <si>
    <t>All required photographs are not provided</t>
  </si>
  <si>
    <t>Will any components of the retention pond be constructed or impact any of the following?</t>
  </si>
  <si>
    <t>No. Storms:</t>
  </si>
  <si>
    <t>Known Flooding Req:</t>
  </si>
  <si>
    <t>T-shape</t>
  </si>
  <si>
    <t>Proposed</t>
  </si>
  <si>
    <t>Existing</t>
  </si>
  <si>
    <t>2.</t>
  </si>
  <si>
    <t>If a phase or lot has already been constructed, enter the amount of impervious area in the Existing Imp. Area column.</t>
  </si>
  <si>
    <t>Stage-Area-Storage Summary</t>
  </si>
  <si>
    <t>Discharge Summary</t>
  </si>
  <si>
    <t>Known Flooding Storm:</t>
  </si>
  <si>
    <t>Adj Property Req:</t>
  </si>
  <si>
    <t>Adj Property Storm:</t>
  </si>
  <si>
    <t>Property</t>
  </si>
  <si>
    <t>Req?</t>
  </si>
  <si>
    <t>Storm</t>
  </si>
  <si>
    <t>Q Lookup</t>
  </si>
  <si>
    <t>Pre Q Lookup Table</t>
  </si>
  <si>
    <t>Outlet control structure &amp; WQv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</si>
</sst>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409]d\-mmm\-yy;@"/>
    <numFmt numFmtId="165" formatCode="0.000000"/>
    <numFmt numFmtId="166" formatCode="0."/>
    <numFmt numFmtId="167" formatCode="#,##0.000000"/>
    <numFmt numFmtId="168" formatCode="_(* #,##0_);_(* \(#,##0\);_(* &quot;-&quot;??_);_(@_)"/>
    <numFmt numFmtId="169" formatCode="[$-409]d\ mmmm\ yyyy;@"/>
    <numFmt numFmtId="170" formatCode="[$-409]dd\ mmmm\ yyyy;@"/>
    <numFmt numFmtId="171" formatCode="[&lt;=9999999]###\-####;\(###\)\ ###\-####"/>
    <numFmt numFmtId="172" formatCode="00000"/>
    <numFmt numFmtId="173" formatCode="\-0.000000"/>
    <numFmt numFmtId="174" formatCode="[$-409]mmmm\ d\,\ yyyy;@"/>
    <numFmt numFmtId="175" formatCode="\-#,##0.000000"/>
    <numFmt numFmtId="176" formatCode="#,##0.000"/>
  </numFmts>
  <fonts count="28" x14ac:knownFonts="1">
    <font>
      <sz val="11"/>
      <color theme="1"/>
      <name val="Calibri"/>
      <family val="2"/>
      <scheme val="minor"/>
    </font>
    <font>
      <b/>
      <u/>
      <sz val="12"/>
      <color theme="1"/>
      <name val="Calibri"/>
      <family val="2"/>
      <scheme val="minor"/>
    </font>
    <font>
      <b/>
      <sz val="18"/>
      <color theme="1"/>
      <name val="Calibri"/>
      <family val="2"/>
      <scheme val="minor"/>
    </font>
    <font>
      <sz val="10"/>
      <color theme="1"/>
      <name val="Calibri"/>
      <family val="2"/>
      <scheme val="minor"/>
    </font>
    <font>
      <vertAlign val="subscript"/>
      <sz val="10"/>
      <color theme="1"/>
      <name val="Calibri"/>
      <family val="2"/>
    </font>
    <font>
      <b/>
      <sz val="10"/>
      <color theme="1"/>
      <name val="Calibri"/>
      <family val="2"/>
      <scheme val="minor"/>
    </font>
    <font>
      <vertAlign val="superscript"/>
      <sz val="8"/>
      <color theme="1"/>
      <name val="Calibri"/>
      <family val="2"/>
    </font>
    <font>
      <u/>
      <sz val="10"/>
      <color theme="1"/>
      <name val="Calibri"/>
      <family val="2"/>
      <scheme val="minor"/>
    </font>
    <font>
      <b/>
      <sz val="12"/>
      <color theme="1"/>
      <name val="Calibri"/>
      <family val="2"/>
      <scheme val="minor"/>
    </font>
    <font>
      <vertAlign val="subscript"/>
      <sz val="15"/>
      <color theme="1"/>
      <name val="Calibri"/>
      <family val="2"/>
    </font>
    <font>
      <u/>
      <sz val="11"/>
      <color theme="10"/>
      <name val="Calibri"/>
      <family val="2"/>
      <scheme val="minor"/>
    </font>
    <font>
      <b/>
      <u/>
      <sz val="10"/>
      <color theme="1"/>
      <name val="Calibri"/>
      <family val="2"/>
      <scheme val="minor"/>
    </font>
    <font>
      <vertAlign val="subscript"/>
      <sz val="11"/>
      <color theme="1"/>
      <name val="Calibri"/>
      <family val="2"/>
      <scheme val="minor"/>
    </font>
    <font>
      <b/>
      <u/>
      <sz val="16"/>
      <color theme="1"/>
      <name val="Calibri"/>
      <family val="2"/>
      <scheme val="minor"/>
    </font>
    <font>
      <sz val="12"/>
      <color theme="1"/>
      <name val="Calibri"/>
      <family val="2"/>
      <scheme val="minor"/>
    </font>
    <font>
      <u/>
      <sz val="12"/>
      <color theme="1"/>
      <name val="Calibri"/>
      <family val="2"/>
      <scheme val="minor"/>
    </font>
    <font>
      <sz val="11"/>
      <color theme="1"/>
      <name val="Calibri"/>
      <family val="2"/>
    </font>
    <font>
      <sz val="9"/>
      <color theme="1"/>
      <name val="Calibri"/>
      <family val="2"/>
      <scheme val="minor"/>
    </font>
    <font>
      <vertAlign val="superscript"/>
      <sz val="9"/>
      <color theme="1"/>
      <name val="Calibri"/>
      <family val="2"/>
    </font>
    <font>
      <vertAlign val="subscript"/>
      <sz val="10"/>
      <color theme="1"/>
      <name val="Calibri"/>
      <family val="2"/>
      <scheme val="minor"/>
    </font>
    <font>
      <sz val="14"/>
      <color theme="1"/>
      <name val="Calibri"/>
      <family val="2"/>
      <scheme val="minor"/>
    </font>
    <font>
      <sz val="11"/>
      <color theme="1"/>
      <name val="Calibri"/>
      <family val="2"/>
      <scheme val="minor"/>
    </font>
    <font>
      <vertAlign val="superscript"/>
      <sz val="10.8"/>
      <color theme="1"/>
      <name val="Calibri"/>
      <family val="2"/>
    </font>
    <font>
      <sz val="9"/>
      <color indexed="81"/>
      <name val="Tahoma"/>
      <family val="2"/>
    </font>
    <font>
      <b/>
      <sz val="9"/>
      <color indexed="81"/>
      <name val="Tahoma"/>
      <family val="2"/>
    </font>
    <font>
      <b/>
      <sz val="11"/>
      <color theme="1"/>
      <name val="Calibri"/>
      <family val="2"/>
      <scheme val="minor"/>
    </font>
    <font>
      <sz val="10"/>
      <color theme="1"/>
      <name val="Calibri"/>
      <family val="2"/>
    </font>
    <font>
      <u/>
      <sz val="10"/>
      <color theme="10"/>
      <name val="Calibri"/>
      <family val="2"/>
      <scheme val="minor"/>
    </font>
  </fonts>
  <fills count="8">
    <fill>
      <patternFill patternType="none"/>
    </fill>
    <fill>
      <patternFill patternType="gray125"/>
    </fill>
    <fill>
      <patternFill patternType="solid">
        <fgColor theme="7" tint="0.59996337778862885"/>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rgb="FFFFFFCC"/>
        <bgColor indexed="64"/>
      </patternFill>
    </fill>
  </fills>
  <borders count="1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auto="1"/>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cellStyleXfs>
  <cellXfs count="249">
    <xf numFmtId="0" fontId="0" fillId="0" borderId="0" xfId="0"/>
    <xf numFmtId="0" fontId="1"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wrapText="1"/>
    </xf>
    <xf numFmtId="0" fontId="3" fillId="0" borderId="0" xfId="0" applyFont="1" applyAlignment="1">
      <alignment horizontal="center" vertical="center"/>
    </xf>
    <xf numFmtId="0" fontId="8" fillId="0" borderId="0" xfId="0" applyFont="1" applyAlignment="1">
      <alignment vertical="center"/>
    </xf>
    <xf numFmtId="4" fontId="3" fillId="0" borderId="0" xfId="0" applyNumberFormat="1" applyFont="1" applyAlignment="1" applyProtection="1">
      <alignment vertical="center"/>
      <protection hidden="1"/>
    </xf>
    <xf numFmtId="3"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3" fillId="4" borderId="0" xfId="0" applyFont="1" applyFill="1" applyAlignment="1">
      <alignment vertical="center"/>
    </xf>
    <xf numFmtId="0" fontId="3" fillId="4" borderId="0" xfId="0" applyFont="1" applyFill="1" applyAlignment="1">
      <alignment horizontal="right" vertical="center"/>
    </xf>
    <xf numFmtId="2" fontId="3" fillId="0" borderId="0" xfId="0" applyNumberFormat="1" applyFont="1" applyAlignment="1" applyProtection="1">
      <alignment horizontal="right" vertical="center"/>
      <protection hidden="1"/>
    </xf>
    <xf numFmtId="2" fontId="3" fillId="0" borderId="0" xfId="0" applyNumberFormat="1" applyFont="1" applyAlignment="1" applyProtection="1">
      <alignment vertical="center"/>
      <protection hidden="1"/>
    </xf>
    <xf numFmtId="0" fontId="3" fillId="3" borderId="0" xfId="0" applyFont="1" applyFill="1" applyAlignment="1">
      <alignment vertical="center"/>
    </xf>
    <xf numFmtId="0" fontId="3" fillId="0" borderId="0" xfId="0" applyFont="1" applyAlignment="1">
      <alignment horizontal="left" vertical="center"/>
    </xf>
    <xf numFmtId="0" fontId="3" fillId="3" borderId="0" xfId="0" applyFont="1" applyFill="1" applyAlignment="1">
      <alignment horizontal="left" vertical="center"/>
    </xf>
    <xf numFmtId="0" fontId="3" fillId="6" borderId="0" xfId="0" applyFont="1" applyFill="1" applyAlignment="1">
      <alignment vertical="center"/>
    </xf>
    <xf numFmtId="0" fontId="3" fillId="0" borderId="13" xfId="0" applyFont="1" applyBorder="1" applyAlignment="1" applyProtection="1">
      <alignment horizontal="center" vertical="center"/>
      <protection locked="0"/>
    </xf>
    <xf numFmtId="0" fontId="3" fillId="6" borderId="0" xfId="0" applyFont="1" applyFill="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wrapText="1"/>
    </xf>
    <xf numFmtId="0" fontId="3" fillId="3" borderId="5" xfId="0" applyFont="1" applyFill="1" applyBorder="1" applyAlignment="1">
      <alignment vertical="center"/>
    </xf>
    <xf numFmtId="0" fontId="1" fillId="3" borderId="3"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0" xfId="0" applyFont="1" applyFill="1" applyAlignment="1">
      <alignment horizontal="righ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166" fontId="0" fillId="0" borderId="0" xfId="0" applyNumberFormat="1" applyAlignment="1">
      <alignment horizontal="center" vertical="center"/>
    </xf>
    <xf numFmtId="0" fontId="0" fillId="0" borderId="0" xfId="0"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0" borderId="0" xfId="0" applyFont="1" applyAlignment="1">
      <alignment vertical="center"/>
    </xf>
    <xf numFmtId="0" fontId="16" fillId="0" borderId="0" xfId="0" applyFont="1" applyAlignment="1">
      <alignment horizontal="center" vertical="center"/>
    </xf>
    <xf numFmtId="0" fontId="3" fillId="0" borderId="11" xfId="0" applyFont="1" applyBorder="1" applyAlignment="1">
      <alignment vertical="center"/>
    </xf>
    <xf numFmtId="2" fontId="3" fillId="0" borderId="0" xfId="0" applyNumberFormat="1" applyFont="1" applyAlignment="1">
      <alignment horizontal="right" vertical="center"/>
    </xf>
    <xf numFmtId="2" fontId="3" fillId="0" borderId="0" xfId="0" applyNumberFormat="1" applyFont="1" applyAlignment="1">
      <alignment vertical="center"/>
    </xf>
    <xf numFmtId="0" fontId="3" fillId="0" borderId="13" xfId="0" applyFont="1" applyBorder="1" applyAlignment="1">
      <alignment horizontal="center" vertical="center"/>
    </xf>
    <xf numFmtId="0" fontId="3" fillId="0" borderId="12" xfId="0" applyFont="1" applyBorder="1" applyAlignment="1">
      <alignment vertical="center"/>
    </xf>
    <xf numFmtId="0" fontId="3" fillId="0" borderId="0" xfId="0" applyFont="1" applyAlignment="1">
      <alignment horizontal="right"/>
    </xf>
    <xf numFmtId="0" fontId="11" fillId="0" borderId="0" xfId="0" applyFont="1" applyAlignment="1">
      <alignment vertical="center"/>
    </xf>
    <xf numFmtId="165" fontId="3" fillId="0" borderId="0" xfId="0" applyNumberFormat="1" applyFont="1" applyAlignment="1">
      <alignment vertical="center"/>
    </xf>
    <xf numFmtId="3" fontId="3" fillId="0" borderId="0" xfId="0" applyNumberFormat="1" applyFont="1" applyAlignment="1">
      <alignment vertical="center"/>
    </xf>
    <xf numFmtId="166" fontId="8" fillId="0" borderId="0" xfId="0" applyNumberFormat="1" applyFont="1" applyAlignment="1">
      <alignment horizontal="center" vertical="center"/>
    </xf>
    <xf numFmtId="4" fontId="3" fillId="0" borderId="0" xfId="0" applyNumberFormat="1" applyFont="1" applyAlignment="1">
      <alignment vertical="center"/>
    </xf>
    <xf numFmtId="0" fontId="3" fillId="0" borderId="0" xfId="0" applyFont="1" applyAlignment="1">
      <alignment horizontal="right" vertical="center" indent="1"/>
    </xf>
    <xf numFmtId="3" fontId="3" fillId="0" borderId="0" xfId="0" applyNumberFormat="1" applyFont="1" applyAlignment="1">
      <alignment horizontal="right" vertical="center"/>
    </xf>
    <xf numFmtId="0" fontId="17" fillId="0" borderId="0" xfId="0" applyFont="1" applyAlignment="1">
      <alignment horizontal="center" vertical="center" wrapText="1"/>
    </xf>
    <xf numFmtId="0" fontId="10" fillId="0" borderId="0" xfId="1" applyBorder="1" applyAlignment="1" applyProtection="1">
      <alignment horizontal="left" vertical="center"/>
    </xf>
    <xf numFmtId="0" fontId="5" fillId="4" borderId="5" xfId="0" applyFont="1" applyFill="1" applyBorder="1" applyAlignment="1">
      <alignment vertical="center"/>
    </xf>
    <xf numFmtId="0" fontId="3" fillId="4" borderId="3"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11" fillId="4" borderId="0" xfId="0" applyFont="1" applyFill="1" applyAlignment="1">
      <alignment horizontal="right" vertical="center"/>
    </xf>
    <xf numFmtId="0" fontId="11" fillId="4" borderId="0" xfId="0" applyFont="1" applyFill="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lignment horizontal="right" vertical="center"/>
    </xf>
    <xf numFmtId="0" fontId="3" fillId="4" borderId="10" xfId="0" applyFont="1" applyFill="1" applyBorder="1" applyAlignment="1">
      <alignment vertical="center"/>
    </xf>
    <xf numFmtId="0" fontId="3" fillId="3" borderId="1" xfId="0" applyFont="1" applyFill="1" applyBorder="1" applyAlignment="1">
      <alignment vertical="center"/>
    </xf>
    <xf numFmtId="0" fontId="3" fillId="0" borderId="0" xfId="0" applyFont="1" applyAlignment="1">
      <alignment vertical="top" wrapText="1"/>
    </xf>
    <xf numFmtId="0" fontId="7" fillId="3" borderId="1" xfId="0" applyFont="1" applyFill="1" applyBorder="1" applyAlignment="1">
      <alignment vertical="center"/>
    </xf>
    <xf numFmtId="0" fontId="1" fillId="0" borderId="0" xfId="0" applyFont="1" applyAlignment="1">
      <alignment horizontal="left" vertical="center"/>
    </xf>
    <xf numFmtId="0" fontId="14" fillId="0" borderId="13" xfId="0" applyFont="1" applyBorder="1" applyAlignment="1" applyProtection="1">
      <alignment horizontal="center" vertical="center"/>
      <protection locked="0"/>
    </xf>
    <xf numFmtId="0" fontId="5" fillId="4" borderId="3" xfId="0" applyFont="1" applyFill="1" applyBorder="1" applyAlignment="1">
      <alignment vertical="center"/>
    </xf>
    <xf numFmtId="165" fontId="3" fillId="0" borderId="0" xfId="0" applyNumberFormat="1" applyFont="1" applyAlignment="1" applyProtection="1">
      <alignment vertical="center"/>
      <protection hidden="1"/>
    </xf>
    <xf numFmtId="0" fontId="3" fillId="3" borderId="1" xfId="0" applyFont="1" applyFill="1" applyBorder="1" applyAlignment="1">
      <alignment horizontal="right" vertical="center"/>
    </xf>
    <xf numFmtId="0" fontId="1" fillId="0" borderId="12" xfId="0" applyFont="1" applyBorder="1" applyAlignment="1">
      <alignment vertical="center"/>
    </xf>
    <xf numFmtId="0" fontId="3" fillId="0" borderId="11" xfId="0" applyFont="1" applyBorder="1" applyAlignment="1">
      <alignment horizontal="right" vertical="center"/>
    </xf>
    <xf numFmtId="0" fontId="3" fillId="0" borderId="7" xfId="0" applyFont="1" applyBorder="1" applyAlignment="1">
      <alignment vertical="center"/>
    </xf>
    <xf numFmtId="0" fontId="13" fillId="0" borderId="0" xfId="0" applyFont="1" applyAlignment="1">
      <alignment vertical="center"/>
    </xf>
    <xf numFmtId="0" fontId="3" fillId="0" borderId="3" xfId="0" applyFont="1" applyBorder="1" applyAlignment="1">
      <alignment vertical="center"/>
    </xf>
    <xf numFmtId="0" fontId="10" fillId="0" borderId="0" xfId="1" applyBorder="1" applyAlignment="1" applyProtection="1">
      <alignment vertical="center"/>
    </xf>
    <xf numFmtId="166" fontId="3" fillId="0" borderId="0" xfId="0" applyNumberFormat="1" applyFont="1" applyAlignment="1">
      <alignment vertical="center"/>
    </xf>
    <xf numFmtId="0" fontId="7" fillId="3" borderId="0" xfId="0" applyFont="1" applyFill="1" applyAlignment="1">
      <alignment vertical="center"/>
    </xf>
    <xf numFmtId="0" fontId="2" fillId="6" borderId="0" xfId="0" applyFont="1" applyFill="1" applyAlignment="1">
      <alignment vertical="center" wrapText="1"/>
    </xf>
    <xf numFmtId="0" fontId="2" fillId="0" borderId="0" xfId="0" applyFont="1" applyAlignment="1">
      <alignment vertical="center"/>
    </xf>
    <xf numFmtId="0" fontId="3" fillId="3" borderId="13" xfId="0" applyFont="1" applyFill="1" applyBorder="1" applyAlignment="1">
      <alignment horizontal="center" vertical="center"/>
    </xf>
    <xf numFmtId="0" fontId="3" fillId="3" borderId="0" xfId="0" applyFont="1" applyFill="1" applyAlignment="1">
      <alignment horizontal="center" vertical="center"/>
    </xf>
    <xf numFmtId="0" fontId="0" fillId="0" borderId="0" xfId="0" applyAlignment="1">
      <alignment horizontal="left" vertical="center"/>
    </xf>
    <xf numFmtId="0" fontId="3" fillId="6" borderId="0" xfId="0" applyFont="1" applyFill="1" applyAlignment="1">
      <alignment horizontal="right" vertical="center"/>
    </xf>
    <xf numFmtId="0" fontId="1" fillId="6" borderId="0" xfId="0" applyFont="1" applyFill="1" applyAlignment="1">
      <alignment vertical="center"/>
    </xf>
    <xf numFmtId="1" fontId="3" fillId="0" borderId="0" xfId="0" applyNumberFormat="1" applyFont="1" applyAlignment="1">
      <alignment vertical="center"/>
    </xf>
    <xf numFmtId="166" fontId="0" fillId="0" borderId="0" xfId="0" applyNumberFormat="1" applyAlignment="1">
      <alignment horizontal="left" vertical="center"/>
    </xf>
    <xf numFmtId="4" fontId="3" fillId="0" borderId="3" xfId="0" applyNumberFormat="1" applyFont="1" applyBorder="1" applyAlignment="1">
      <alignment horizontal="right" vertical="center"/>
    </xf>
    <xf numFmtId="4" fontId="3" fillId="0" borderId="0" xfId="0" applyNumberFormat="1" applyFont="1" applyAlignment="1">
      <alignment horizontal="right" vertical="center"/>
    </xf>
    <xf numFmtId="0" fontId="3" fillId="0" borderId="0" xfId="0" applyFont="1"/>
    <xf numFmtId="3" fontId="3" fillId="0" borderId="3" xfId="0" applyNumberFormat="1" applyFont="1" applyBorder="1" applyAlignment="1">
      <alignment horizontal="right" vertical="center"/>
    </xf>
    <xf numFmtId="0" fontId="3" fillId="0" borderId="0" xfId="0" applyFont="1" applyAlignment="1">
      <alignment horizontal="center" vertical="center" wrapText="1"/>
    </xf>
    <xf numFmtId="166" fontId="14" fillId="0" borderId="0" xfId="0" applyNumberFormat="1" applyFont="1" applyAlignment="1">
      <alignment horizontal="center" vertical="center"/>
    </xf>
    <xf numFmtId="0" fontId="14" fillId="0" borderId="0" xfId="0" applyFont="1" applyAlignment="1">
      <alignment vertical="center"/>
    </xf>
    <xf numFmtId="166" fontId="13" fillId="0" borderId="0" xfId="0" applyNumberFormat="1" applyFont="1" applyAlignment="1">
      <alignment vertical="center"/>
    </xf>
    <xf numFmtId="0" fontId="14" fillId="0" borderId="1" xfId="0" applyFont="1" applyBorder="1" applyAlignment="1">
      <alignment horizontal="center" vertical="center"/>
    </xf>
    <xf numFmtId="4" fontId="14" fillId="0" borderId="1" xfId="0" applyNumberFormat="1" applyFont="1" applyBorder="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2" borderId="1" xfId="0" applyFont="1" applyFill="1" applyBorder="1" applyAlignment="1">
      <alignment vertical="center"/>
    </xf>
    <xf numFmtId="0" fontId="14" fillId="5" borderId="1" xfId="0" applyFont="1" applyFill="1" applyBorder="1" applyAlignment="1">
      <alignment vertical="center"/>
    </xf>
    <xf numFmtId="0" fontId="8" fillId="0" borderId="0" xfId="0" applyFont="1" applyAlignment="1">
      <alignment horizontal="left" vertical="center"/>
    </xf>
    <xf numFmtId="0" fontId="3" fillId="0" borderId="1" xfId="0" applyFont="1" applyBorder="1" applyAlignment="1">
      <alignment vertical="center"/>
    </xf>
    <xf numFmtId="0" fontId="0" fillId="0" borderId="0" xfId="0" applyAlignment="1">
      <alignment horizontal="right" vertical="center"/>
    </xf>
    <xf numFmtId="0" fontId="0" fillId="0" borderId="0" xfId="0" applyAlignment="1">
      <alignment horizontal="center"/>
    </xf>
    <xf numFmtId="2" fontId="0" fillId="0" borderId="0" xfId="0" applyNumberFormat="1"/>
    <xf numFmtId="2" fontId="0" fillId="0" borderId="0" xfId="0" applyNumberFormat="1" applyAlignment="1">
      <alignment vertical="center"/>
    </xf>
    <xf numFmtId="0" fontId="0" fillId="0" borderId="0" xfId="0" applyAlignment="1">
      <alignment horizontal="right"/>
    </xf>
    <xf numFmtId="0" fontId="0" fillId="7" borderId="14" xfId="0" applyFill="1" applyBorder="1"/>
    <xf numFmtId="170" fontId="0" fillId="0" borderId="0" xfId="0" quotePrefix="1" applyNumberFormat="1"/>
    <xf numFmtId="170" fontId="0" fillId="0" borderId="0" xfId="0" applyNumberFormat="1"/>
    <xf numFmtId="0" fontId="3" fillId="0" borderId="0" xfId="0" applyFont="1" applyAlignment="1">
      <alignment vertical="top"/>
    </xf>
    <xf numFmtId="0" fontId="3" fillId="0" borderId="0" xfId="0" applyFont="1" applyAlignment="1">
      <alignment vertical="center" wrapText="1"/>
    </xf>
    <xf numFmtId="0" fontId="20" fillId="3" borderId="13" xfId="0" applyFont="1" applyFill="1" applyBorder="1" applyAlignment="1">
      <alignment horizontal="center" vertical="center"/>
    </xf>
    <xf numFmtId="169" fontId="17" fillId="0" borderId="0" xfId="0" applyNumberFormat="1" applyFont="1" applyAlignment="1">
      <alignment horizontal="left" vertical="center"/>
    </xf>
    <xf numFmtId="169" fontId="0" fillId="7" borderId="14" xfId="0" applyNumberFormat="1" applyFill="1" applyBorder="1"/>
    <xf numFmtId="0" fontId="3" fillId="6" borderId="13" xfId="0" applyFont="1" applyFill="1" applyBorder="1" applyAlignment="1">
      <alignment vertical="center"/>
    </xf>
    <xf numFmtId="2" fontId="3" fillId="6" borderId="13" xfId="0" applyNumberFormat="1" applyFont="1" applyFill="1" applyBorder="1" applyAlignment="1">
      <alignment vertical="center"/>
    </xf>
    <xf numFmtId="0" fontId="3" fillId="6" borderId="13" xfId="0" applyFont="1" applyFill="1" applyBorder="1" applyAlignment="1">
      <alignment horizontal="center" vertical="center"/>
    </xf>
    <xf numFmtId="0" fontId="25" fillId="0" borderId="0" xfId="0" applyFont="1"/>
    <xf numFmtId="0" fontId="25" fillId="0" borderId="0" xfId="0" applyFont="1" applyAlignment="1">
      <alignment horizontal="center"/>
    </xf>
    <xf numFmtId="0" fontId="8" fillId="6" borderId="0" xfId="0" applyFont="1" applyFill="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vertical="center"/>
    </xf>
    <xf numFmtId="2" fontId="3" fillId="6" borderId="13" xfId="0" applyNumberFormat="1" applyFont="1" applyFill="1" applyBorder="1" applyAlignment="1">
      <alignment horizontal="center" vertical="center"/>
    </xf>
    <xf numFmtId="1" fontId="3" fillId="6" borderId="13" xfId="0" applyNumberFormat="1" applyFont="1" applyFill="1" applyBorder="1" applyAlignment="1">
      <alignment horizontal="center" vertical="center"/>
    </xf>
    <xf numFmtId="3" fontId="3" fillId="6" borderId="13" xfId="0" applyNumberFormat="1" applyFont="1" applyFill="1" applyBorder="1" applyAlignment="1">
      <alignment horizontal="center" vertical="center"/>
    </xf>
    <xf numFmtId="0" fontId="3" fillId="6" borderId="3" xfId="0" applyFont="1" applyFill="1" applyBorder="1" applyAlignment="1">
      <alignment horizontal="center" vertical="center"/>
    </xf>
    <xf numFmtId="0" fontId="3" fillId="6" borderId="0" xfId="0" applyFont="1" applyFill="1" applyAlignment="1">
      <alignment horizontal="left" vertical="center"/>
    </xf>
    <xf numFmtId="0" fontId="3" fillId="6" borderId="1" xfId="0" applyFont="1" applyFill="1" applyBorder="1" applyAlignment="1">
      <alignment horizontal="center" vertical="center"/>
    </xf>
    <xf numFmtId="0" fontId="5" fillId="4" borderId="0" xfId="0" applyFont="1" applyFill="1" applyAlignment="1">
      <alignment horizontal="right" vertical="center"/>
    </xf>
    <xf numFmtId="0" fontId="26" fillId="0" borderId="0" xfId="0" applyFont="1" applyAlignment="1">
      <alignment horizontal="center" vertical="center"/>
    </xf>
    <xf numFmtId="0" fontId="3" fillId="0" borderId="3" xfId="0" applyFont="1" applyBorder="1" applyAlignment="1">
      <alignment horizontal="right" vertical="center"/>
    </xf>
    <xf numFmtId="166" fontId="3" fillId="0" borderId="0" xfId="0" applyNumberFormat="1" applyFont="1" applyAlignment="1">
      <alignment horizontal="left" vertical="center"/>
    </xf>
    <xf numFmtId="169" fontId="0" fillId="0" borderId="0" xfId="0" applyNumberFormat="1"/>
    <xf numFmtId="169" fontId="0" fillId="0" borderId="0" xfId="0" quotePrefix="1" applyNumberFormat="1"/>
    <xf numFmtId="0" fontId="3" fillId="0" borderId="0" xfId="0" applyFont="1" applyAlignment="1">
      <alignment wrapText="1"/>
    </xf>
    <xf numFmtId="0" fontId="3" fillId="0" borderId="0" xfId="0" applyFont="1" applyAlignment="1">
      <alignment horizontal="left" wrapText="1"/>
    </xf>
    <xf numFmtId="0" fontId="0" fillId="0" borderId="0" xfId="0" applyAlignment="1">
      <alignment vertical="center" wrapText="1"/>
    </xf>
    <xf numFmtId="0" fontId="0" fillId="0" borderId="0" xfId="0" applyAlignment="1">
      <alignment vertical="top" wrapText="1"/>
    </xf>
    <xf numFmtId="166" fontId="0" fillId="0" borderId="0" xfId="0" applyNumberFormat="1" applyAlignment="1">
      <alignment vertical="center"/>
    </xf>
    <xf numFmtId="0" fontId="20" fillId="0" borderId="0" xfId="0" applyFont="1" applyAlignment="1">
      <alignment horizontal="center" vertical="center"/>
    </xf>
    <xf numFmtId="0" fontId="3" fillId="0" borderId="8" xfId="0" applyFont="1" applyBorder="1" applyAlignment="1">
      <alignment vertical="center"/>
    </xf>
    <xf numFmtId="176" fontId="3" fillId="0" borderId="0" xfId="0" applyNumberFormat="1" applyFont="1" applyAlignment="1">
      <alignment horizontal="right" vertical="center"/>
    </xf>
    <xf numFmtId="0" fontId="14" fillId="0" borderId="0" xfId="0" applyFont="1" applyAlignment="1">
      <alignment horizontal="center" vertical="center"/>
    </xf>
    <xf numFmtId="0" fontId="3" fillId="6" borderId="2" xfId="0" applyFont="1" applyFill="1" applyBorder="1" applyAlignment="1">
      <alignment horizontal="center" vertical="center"/>
    </xf>
    <xf numFmtId="0" fontId="3" fillId="6" borderId="15" xfId="0" applyFont="1" applyFill="1" applyBorder="1" applyAlignment="1">
      <alignment horizontal="center" vertical="center"/>
    </xf>
    <xf numFmtId="166" fontId="3" fillId="0" borderId="0" xfId="0" applyNumberFormat="1" applyFont="1" applyAlignment="1">
      <alignment horizontal="center" vertical="top"/>
    </xf>
    <xf numFmtId="172" fontId="3" fillId="0" borderId="0" xfId="0" applyNumberFormat="1" applyFont="1" applyAlignment="1">
      <alignment horizontal="center" vertical="center"/>
    </xf>
    <xf numFmtId="0" fontId="5" fillId="4" borderId="1" xfId="0" applyFont="1" applyFill="1" applyBorder="1" applyAlignment="1">
      <alignment horizontal="right" vertical="center"/>
    </xf>
    <xf numFmtId="0" fontId="3" fillId="4" borderId="1" xfId="0" applyFont="1" applyFill="1" applyBorder="1" applyAlignment="1">
      <alignment horizontal="left" vertical="center"/>
    </xf>
    <xf numFmtId="1" fontId="0" fillId="0" borderId="0" xfId="0" applyNumberFormat="1" applyAlignment="1">
      <alignment horizontal="center"/>
    </xf>
    <xf numFmtId="166" fontId="3" fillId="0" borderId="0" xfId="0" quotePrefix="1" applyNumberFormat="1" applyFont="1" applyAlignment="1">
      <alignment horizontal="center" vertical="center"/>
    </xf>
    <xf numFmtId="0" fontId="3" fillId="6" borderId="17"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vertical="center"/>
    </xf>
    <xf numFmtId="4" fontId="3" fillId="6" borderId="8" xfId="0" applyNumberFormat="1" applyFont="1" applyFill="1" applyBorder="1" applyAlignment="1">
      <alignment vertical="center"/>
    </xf>
    <xf numFmtId="0" fontId="3" fillId="6" borderId="9" xfId="0" applyFont="1" applyFill="1" applyBorder="1" applyAlignment="1">
      <alignment vertical="center"/>
    </xf>
    <xf numFmtId="4" fontId="3" fillId="6" borderId="10" xfId="0" applyNumberFormat="1" applyFont="1" applyFill="1" applyBorder="1" applyAlignment="1">
      <alignment vertical="center"/>
    </xf>
    <xf numFmtId="0" fontId="5" fillId="3" borderId="3" xfId="0" applyFont="1" applyFill="1" applyBorder="1" applyAlignment="1">
      <alignment horizontal="right" vertical="center"/>
    </xf>
    <xf numFmtId="1" fontId="0" fillId="0" borderId="0" xfId="0" applyNumberFormat="1"/>
    <xf numFmtId="0" fontId="14" fillId="0" borderId="0" xfId="0" applyFont="1" applyAlignment="1">
      <alignment horizontal="left" vertical="center" wrapText="1"/>
    </xf>
    <xf numFmtId="0" fontId="14" fillId="0" borderId="0" xfId="0" applyFont="1" applyAlignment="1">
      <alignment horizontal="left" vertical="top" wrapText="1"/>
    </xf>
    <xf numFmtId="2" fontId="3" fillId="0" borderId="1" xfId="0" applyNumberFormat="1" applyFont="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locked="0"/>
    </xf>
    <xf numFmtId="3" fontId="3" fillId="0" borderId="2" xfId="0" applyNumberFormat="1" applyFont="1" applyBorder="1" applyAlignment="1" applyProtection="1">
      <alignment horizontal="right" vertical="center"/>
      <protection locked="0"/>
    </xf>
    <xf numFmtId="0" fontId="3" fillId="0" borderId="0" xfId="0" applyFont="1" applyAlignment="1">
      <alignment horizontal="left" vertical="center"/>
    </xf>
    <xf numFmtId="4" fontId="3" fillId="0" borderId="2" xfId="0" applyNumberFormat="1" applyFont="1" applyBorder="1" applyAlignment="1" applyProtection="1">
      <alignment horizontal="right" vertical="center"/>
      <protection locked="0"/>
    </xf>
    <xf numFmtId="1" fontId="3" fillId="0" borderId="2" xfId="0" applyNumberFormat="1" applyFont="1" applyBorder="1" applyAlignment="1" applyProtection="1">
      <alignment horizontal="right" vertical="center"/>
      <protection locked="0"/>
    </xf>
    <xf numFmtId="2" fontId="3" fillId="0" borderId="2" xfId="0" applyNumberFormat="1" applyFont="1" applyBorder="1" applyAlignment="1" applyProtection="1">
      <alignment horizontal="right" vertical="center"/>
      <protection locked="0"/>
    </xf>
    <xf numFmtId="0" fontId="13" fillId="0" borderId="0" xfId="0" applyFont="1" applyAlignment="1">
      <alignment horizontal="left" vertical="center"/>
    </xf>
    <xf numFmtId="0" fontId="2" fillId="0" borderId="0" xfId="0" applyFont="1" applyAlignment="1">
      <alignment horizontal="right" vertical="center" wrapText="1"/>
    </xf>
    <xf numFmtId="0" fontId="3" fillId="0" borderId="1" xfId="0" applyFont="1" applyBorder="1" applyAlignment="1" applyProtection="1">
      <alignment horizontal="left" vertical="center"/>
      <protection hidden="1"/>
    </xf>
    <xf numFmtId="164" fontId="3" fillId="0" borderId="1" xfId="0" applyNumberFormat="1" applyFont="1" applyBorder="1" applyAlignment="1" applyProtection="1">
      <alignment horizontal="center" vertical="center"/>
      <protection hidden="1"/>
    </xf>
    <xf numFmtId="4" fontId="3" fillId="0" borderId="1" xfId="0" applyNumberFormat="1" applyFont="1" applyBorder="1" applyAlignment="1" applyProtection="1">
      <alignment horizontal="right" vertical="center"/>
      <protection hidden="1"/>
    </xf>
    <xf numFmtId="0" fontId="3" fillId="0" borderId="1" xfId="0" applyFont="1" applyBorder="1" applyAlignment="1" applyProtection="1">
      <alignment horizontal="center" vertical="center"/>
      <protection locked="0"/>
    </xf>
    <xf numFmtId="1" fontId="3" fillId="0" borderId="1" xfId="0" applyNumberFormat="1" applyFont="1" applyBorder="1" applyAlignment="1" applyProtection="1">
      <alignment horizontal="right" vertical="center"/>
      <protection locked="0"/>
    </xf>
    <xf numFmtId="164" fontId="3" fillId="0" borderId="1"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3" fontId="3" fillId="0" borderId="2" xfId="0" applyNumberFormat="1" applyFont="1" applyBorder="1" applyAlignment="1" applyProtection="1">
      <alignment horizontal="right" vertical="center"/>
      <protection hidden="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4" fontId="3" fillId="0" borderId="1" xfId="0" quotePrefix="1" applyNumberFormat="1" applyFont="1" applyBorder="1" applyAlignment="1" applyProtection="1">
      <alignment horizontal="right" vertical="center"/>
      <protection locked="0"/>
    </xf>
    <xf numFmtId="4" fontId="3" fillId="0" borderId="4" xfId="0" applyNumberFormat="1" applyFont="1" applyBorder="1" applyAlignment="1" applyProtection="1">
      <alignment horizontal="right" vertical="center"/>
      <protection locked="0"/>
    </xf>
    <xf numFmtId="0" fontId="3" fillId="0" borderId="0" xfId="0" applyFont="1" applyAlignment="1">
      <alignment horizontal="center" vertical="center"/>
    </xf>
    <xf numFmtId="169" fontId="17" fillId="0" borderId="0" xfId="0" applyNumberFormat="1" applyFont="1" applyAlignment="1">
      <alignment horizontal="left" vertical="center"/>
    </xf>
    <xf numFmtId="0" fontId="3" fillId="0" borderId="2" xfId="0" applyFont="1" applyBorder="1" applyAlignment="1" applyProtection="1">
      <alignment horizontal="center" vertical="center"/>
      <protection hidden="1"/>
    </xf>
    <xf numFmtId="2" fontId="3" fillId="0" borderId="0" xfId="0" applyNumberFormat="1" applyFont="1" applyAlignment="1">
      <alignment horizontal="right" vertical="center"/>
    </xf>
    <xf numFmtId="0" fontId="3" fillId="0" borderId="0" xfId="0" applyFont="1" applyAlignment="1" applyProtection="1">
      <alignment horizontal="right" vertical="center"/>
      <protection locked="0"/>
    </xf>
    <xf numFmtId="165" fontId="3" fillId="0" borderId="1" xfId="0" applyNumberFormat="1" applyFont="1" applyBorder="1" applyAlignment="1" applyProtection="1">
      <alignment horizontal="right" vertical="center"/>
      <protection locked="0"/>
    </xf>
    <xf numFmtId="3" fontId="3" fillId="0" borderId="1" xfId="0" applyNumberFormat="1" applyFont="1" applyBorder="1" applyAlignment="1" applyProtection="1">
      <alignment horizontal="right" vertical="center"/>
      <protection locked="0"/>
    </xf>
    <xf numFmtId="0" fontId="3" fillId="0" borderId="0" xfId="0" applyFont="1" applyAlignment="1">
      <alignment horizontal="center" vertical="center" wrapText="1"/>
    </xf>
    <xf numFmtId="0" fontId="3" fillId="0" borderId="5"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27" fillId="0" borderId="1" xfId="1" applyFont="1" applyBorder="1" applyAlignment="1" applyProtection="1">
      <alignment horizontal="left" vertical="center"/>
      <protection locked="0"/>
    </xf>
    <xf numFmtId="171" fontId="3" fillId="0" borderId="2" xfId="0" applyNumberFormat="1" applyFont="1" applyBorder="1" applyAlignment="1" applyProtection="1">
      <alignment horizontal="left" vertical="center"/>
      <protection locked="0"/>
    </xf>
    <xf numFmtId="0" fontId="3" fillId="0" borderId="0" xfId="0" applyFont="1" applyAlignment="1">
      <alignment horizontal="center" vertical="center" textRotation="90" wrapText="1"/>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173" fontId="3" fillId="0" borderId="1" xfId="0" applyNumberFormat="1" applyFont="1" applyBorder="1" applyAlignment="1" applyProtection="1">
      <alignment horizontal="right" vertical="center"/>
      <protection locked="0"/>
    </xf>
    <xf numFmtId="9" fontId="3" fillId="0" borderId="2" xfId="3" applyFont="1" applyBorder="1" applyAlignment="1">
      <alignment horizontal="right" vertical="center"/>
    </xf>
    <xf numFmtId="0" fontId="3" fillId="3" borderId="1" xfId="0" applyFont="1" applyFill="1" applyBorder="1" applyAlignment="1">
      <alignment horizontal="left" vertical="center"/>
    </xf>
    <xf numFmtId="14" fontId="3" fillId="3" borderId="1" xfId="0" applyNumberFormat="1" applyFont="1" applyFill="1" applyBorder="1" applyAlignment="1">
      <alignment horizontal="center" vertical="center"/>
    </xf>
    <xf numFmtId="167" fontId="3" fillId="0" borderId="1" xfId="0" applyNumberFormat="1" applyFont="1" applyBorder="1" applyAlignment="1" applyProtection="1">
      <alignment vertical="center"/>
      <protection locked="0"/>
    </xf>
    <xf numFmtId="175" fontId="3" fillId="0" borderId="2" xfId="0" applyNumberFormat="1" applyFont="1" applyBorder="1" applyAlignment="1" applyProtection="1">
      <alignment vertical="center"/>
      <protection locked="0"/>
    </xf>
    <xf numFmtId="0" fontId="27" fillId="0" borderId="2" xfId="1" applyFont="1" applyBorder="1" applyAlignment="1" applyProtection="1">
      <alignment horizontal="left" vertical="center"/>
      <protection locked="0"/>
    </xf>
    <xf numFmtId="171"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horizontal="right" vertical="center"/>
      <protection locked="0"/>
    </xf>
    <xf numFmtId="4" fontId="3" fillId="0" borderId="1" xfId="0" applyNumberFormat="1" applyFont="1" applyBorder="1" applyAlignment="1">
      <alignment horizontal="right" vertical="center"/>
    </xf>
    <xf numFmtId="2" fontId="3" fillId="0" borderId="1" xfId="3" applyNumberFormat="1" applyFont="1" applyBorder="1" applyAlignment="1" applyProtection="1">
      <alignment horizontal="right" vertical="center"/>
    </xf>
    <xf numFmtId="3" fontId="3" fillId="0" borderId="2" xfId="0" applyNumberFormat="1" applyFont="1" applyBorder="1" applyAlignment="1">
      <alignment horizontal="right" vertical="center"/>
    </xf>
    <xf numFmtId="4" fontId="3" fillId="0" borderId="2" xfId="0" applyNumberFormat="1" applyFont="1" applyBorder="1" applyAlignment="1">
      <alignment horizontal="right" vertical="center"/>
    </xf>
    <xf numFmtId="164" fontId="3" fillId="0" borderId="2" xfId="0" applyNumberFormat="1" applyFont="1" applyBorder="1" applyAlignment="1" applyProtection="1">
      <alignment horizontal="center" vertical="center"/>
      <protection locked="0"/>
    </xf>
    <xf numFmtId="0" fontId="8" fillId="4" borderId="0" xfId="0" applyFont="1" applyFill="1" applyAlignment="1">
      <alignment horizontal="left" vertical="center"/>
    </xf>
    <xf numFmtId="0" fontId="8" fillId="3" borderId="0" xfId="0" applyFont="1" applyFill="1" applyAlignment="1">
      <alignment horizontal="left" vertical="center"/>
    </xf>
    <xf numFmtId="164" fontId="3" fillId="0" borderId="2" xfId="0" applyNumberFormat="1" applyFont="1" applyBorder="1" applyAlignment="1" applyProtection="1">
      <alignment horizontal="center" vertical="center"/>
      <protection hidden="1"/>
    </xf>
    <xf numFmtId="2" fontId="3" fillId="0" borderId="2" xfId="0" applyNumberFormat="1"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1" xfId="0" applyFont="1" applyBorder="1" applyAlignment="1">
      <alignment horizontal="left" vertical="center"/>
    </xf>
    <xf numFmtId="0" fontId="3" fillId="0" borderId="2" xfId="0" applyFont="1" applyBorder="1" applyAlignment="1">
      <alignment horizontal="left" vertical="center"/>
    </xf>
    <xf numFmtId="3" fontId="3" fillId="0" borderId="1" xfId="0" applyNumberFormat="1" applyFont="1" applyBorder="1" applyAlignment="1">
      <alignment horizontal="right" vertical="center"/>
    </xf>
    <xf numFmtId="3" fontId="3" fillId="0" borderId="1" xfId="0" applyNumberFormat="1" applyFont="1" applyBorder="1" applyAlignment="1" applyProtection="1">
      <alignment horizontal="right" vertical="center"/>
      <protection hidden="1"/>
    </xf>
    <xf numFmtId="4" fontId="3" fillId="0" borderId="2" xfId="0" applyNumberFormat="1" applyFont="1" applyBorder="1" applyAlignment="1" applyProtection="1">
      <alignment horizontal="right" vertical="center"/>
      <protection hidden="1"/>
    </xf>
    <xf numFmtId="0" fontId="17" fillId="0" borderId="0" xfId="0" applyFont="1" applyAlignment="1">
      <alignment horizontal="center" vertical="center" wrapText="1"/>
    </xf>
    <xf numFmtId="165" fontId="3" fillId="0" borderId="1" xfId="0" applyNumberFormat="1" applyFont="1" applyBorder="1" applyAlignment="1" applyProtection="1">
      <alignment horizontal="right" vertical="center"/>
      <protection hidden="1"/>
    </xf>
    <xf numFmtId="165" fontId="3" fillId="0" borderId="2" xfId="0" applyNumberFormat="1" applyFont="1" applyBorder="1" applyAlignment="1" applyProtection="1">
      <alignment horizontal="right" vertical="center"/>
      <protection hidden="1"/>
    </xf>
    <xf numFmtId="173" fontId="3" fillId="0" borderId="2" xfId="0" applyNumberFormat="1" applyFont="1" applyBorder="1" applyAlignment="1" applyProtection="1">
      <alignment horizontal="right" vertical="center"/>
      <protection locked="0"/>
    </xf>
    <xf numFmtId="168" fontId="3" fillId="0" borderId="1" xfId="2" applyNumberFormat="1" applyFont="1" applyBorder="1" applyAlignment="1" applyProtection="1">
      <alignment horizontal="right" vertical="center"/>
      <protection locked="0"/>
    </xf>
    <xf numFmtId="2" fontId="3" fillId="0" borderId="2" xfId="0" applyNumberFormat="1" applyFont="1" applyBorder="1" applyAlignment="1">
      <alignment horizontal="right" vertical="center"/>
    </xf>
    <xf numFmtId="0" fontId="7" fillId="3" borderId="1" xfId="0" applyFont="1" applyFill="1" applyBorder="1" applyAlignment="1">
      <alignment vertical="center"/>
    </xf>
    <xf numFmtId="2" fontId="3" fillId="0" borderId="1" xfId="0" applyNumberFormat="1" applyFont="1" applyBorder="1" applyAlignment="1" applyProtection="1">
      <alignment horizontal="right" vertical="center"/>
      <protection hidden="1"/>
    </xf>
    <xf numFmtId="168" fontId="3" fillId="0" borderId="2" xfId="2" applyNumberFormat="1" applyFont="1" applyBorder="1" applyAlignment="1" applyProtection="1">
      <alignment horizontal="right" vertical="center"/>
      <protection locked="0"/>
    </xf>
    <xf numFmtId="2" fontId="3" fillId="0" borderId="1" xfId="0" applyNumberFormat="1" applyFont="1" applyBorder="1" applyAlignment="1">
      <alignment horizontal="right" vertical="center"/>
    </xf>
    <xf numFmtId="0" fontId="10" fillId="0" borderId="2" xfId="1" applyBorder="1" applyAlignment="1" applyProtection="1">
      <alignment horizontal="left" vertical="center"/>
      <protection locked="0"/>
    </xf>
    <xf numFmtId="171" fontId="3" fillId="0" borderId="2" xfId="0" applyNumberFormat="1" applyFont="1" applyBorder="1" applyAlignment="1" applyProtection="1">
      <alignment horizontal="center" vertical="center"/>
      <protection locked="0"/>
    </xf>
    <xf numFmtId="0" fontId="3" fillId="0" borderId="0" xfId="0" applyFont="1" applyAlignment="1">
      <alignment horizontal="left" vertical="top" wrapText="1"/>
    </xf>
    <xf numFmtId="172" fontId="3" fillId="0" borderId="1" xfId="0" applyNumberFormat="1" applyFont="1" applyBorder="1" applyAlignment="1" applyProtection="1">
      <alignment horizontal="left" vertical="center"/>
      <protection locked="0"/>
    </xf>
    <xf numFmtId="172" fontId="3" fillId="0" borderId="1" xfId="0" applyNumberFormat="1" applyFont="1" applyBorder="1" applyAlignment="1" applyProtection="1">
      <alignment horizontal="center" vertical="center"/>
      <protection locked="0"/>
    </xf>
    <xf numFmtId="174" fontId="3" fillId="0" borderId="1" xfId="0" applyNumberFormat="1" applyFont="1" applyBorder="1" applyAlignment="1" applyProtection="1">
      <alignment horizontal="center" vertical="center"/>
      <protection locked="0"/>
    </xf>
    <xf numFmtId="164" fontId="3" fillId="3" borderId="2" xfId="0" applyNumberFormat="1" applyFont="1" applyFill="1" applyBorder="1" applyAlignment="1">
      <alignment horizontal="left" vertical="center"/>
    </xf>
  </cellXfs>
  <cellStyles count="4">
    <cellStyle name="Comma" xfId="2" builtinId="3"/>
    <cellStyle name="Hyperlink" xfId="1" builtinId="8"/>
    <cellStyle name="Normal" xfId="0" builtinId="0"/>
    <cellStyle name="Percent" xfId="3" builtinId="5"/>
  </cellStyles>
  <dxfs count="337">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numFmt numFmtId="177" formatCode="0.0000"/>
    </dxf>
    <dxf>
      <numFmt numFmtId="3" formatCode="#,##0"/>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7" formatCode="0.0000"/>
    </dxf>
    <dxf>
      <fill>
        <patternFill>
          <bgColor theme="5" tint="0.59996337778862885"/>
        </patternFill>
      </fill>
    </dxf>
    <dxf>
      <numFmt numFmtId="177" formatCode="0.0000"/>
    </dxf>
    <dxf>
      <fill>
        <patternFill>
          <bgColor theme="9" tint="0.59996337778862885"/>
        </patternFill>
      </fill>
    </dxf>
    <dxf>
      <numFmt numFmtId="3" formatCode="#,##0"/>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7" formatCode="0.0000"/>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numFmt numFmtId="3" formatCode="#,##0"/>
    </dxf>
    <dxf>
      <numFmt numFmtId="178" formatCode="#,##0.0000"/>
    </dxf>
    <dxf>
      <fill>
        <patternFill>
          <bgColor theme="7" tint="0.59996337778862885"/>
        </patternFill>
      </fill>
    </dxf>
    <dxf>
      <fill>
        <patternFill>
          <bgColor theme="7" tint="0.59996337778862885"/>
        </patternFill>
      </fill>
    </dxf>
    <dxf>
      <numFmt numFmtId="3" formatCode="#,##0"/>
    </dxf>
    <dxf>
      <numFmt numFmtId="177" formatCode="0.000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numFmt numFmtId="3" formatCode="#,##0"/>
    </dxf>
    <dxf>
      <numFmt numFmtId="177" formatCode="0.0000"/>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numFmt numFmtId="177" formatCode="0.0000"/>
    </dxf>
    <dxf>
      <numFmt numFmtId="3" formatCode="#,##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numFmt numFmtId="177" formatCode="0.0000"/>
    </dxf>
    <dxf>
      <numFmt numFmtId="3" formatCode="#,##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4</xdr:col>
      <xdr:colOff>130615</xdr:colOff>
      <xdr:row>38</xdr:row>
      <xdr:rowOff>30979</xdr:rowOff>
    </xdr:from>
    <xdr:to>
      <xdr:col>4</xdr:col>
      <xdr:colOff>988500</xdr:colOff>
      <xdr:row>38</xdr:row>
      <xdr:rowOff>760790</xdr:rowOff>
    </xdr:to>
    <xdr:pic>
      <xdr:nvPicPr>
        <xdr:cNvPr id="14" name="Picture 13">
          <a:extLst>
            <a:ext uri="{FF2B5EF4-FFF2-40B4-BE49-F238E27FC236}">
              <a16:creationId xmlns:a16="http://schemas.microsoft.com/office/drawing/2014/main" id="{C7F67865-5892-4100-9292-454116CC24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98655" y="9334999"/>
          <a:ext cx="857885" cy="729811"/>
        </a:xfrm>
        <a:prstGeom prst="rect">
          <a:avLst/>
        </a:prstGeom>
        <a:noFill/>
        <a:ln>
          <a:noFill/>
        </a:ln>
      </xdr:spPr>
    </xdr:pic>
    <xdr:clientData/>
  </xdr:twoCellAnchor>
  <xdr:twoCellAnchor editAs="oneCell">
    <xdr:from>
      <xdr:col>2</xdr:col>
      <xdr:colOff>127285</xdr:colOff>
      <xdr:row>37</xdr:row>
      <xdr:rowOff>28271</xdr:rowOff>
    </xdr:from>
    <xdr:to>
      <xdr:col>2</xdr:col>
      <xdr:colOff>935004</xdr:colOff>
      <xdr:row>37</xdr:row>
      <xdr:rowOff>744551</xdr:rowOff>
    </xdr:to>
    <xdr:pic>
      <xdr:nvPicPr>
        <xdr:cNvPr id="15" name="Picture 14">
          <a:extLst>
            <a:ext uri="{FF2B5EF4-FFF2-40B4-BE49-F238E27FC236}">
              <a16:creationId xmlns:a16="http://schemas.microsoft.com/office/drawing/2014/main" id="{3A697349-07D3-4FCF-872F-12CA17102F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709685" y="9583751"/>
          <a:ext cx="803909" cy="718185"/>
        </a:xfrm>
        <a:prstGeom prst="rect">
          <a:avLst/>
        </a:prstGeom>
        <a:noFill/>
        <a:ln>
          <a:noFill/>
        </a:ln>
      </xdr:spPr>
    </xdr:pic>
    <xdr:clientData/>
  </xdr:twoCellAnchor>
  <xdr:twoCellAnchor editAs="oneCell">
    <xdr:from>
      <xdr:col>2</xdr:col>
      <xdr:colOff>191277</xdr:colOff>
      <xdr:row>34</xdr:row>
      <xdr:rowOff>20804</xdr:rowOff>
    </xdr:from>
    <xdr:to>
      <xdr:col>2</xdr:col>
      <xdr:colOff>915177</xdr:colOff>
      <xdr:row>34</xdr:row>
      <xdr:rowOff>741862</xdr:rowOff>
    </xdr:to>
    <xdr:pic>
      <xdr:nvPicPr>
        <xdr:cNvPr id="16" name="Picture 15">
          <a:extLst>
            <a:ext uri="{FF2B5EF4-FFF2-40B4-BE49-F238E27FC236}">
              <a16:creationId xmlns:a16="http://schemas.microsoft.com/office/drawing/2014/main" id="{DDC491A1-2C83-4368-9B90-DDF245DE85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73677" y="7168364"/>
          <a:ext cx="723900" cy="724868"/>
        </a:xfrm>
        <a:prstGeom prst="rect">
          <a:avLst/>
        </a:prstGeom>
        <a:ln>
          <a:noFill/>
        </a:ln>
      </xdr:spPr>
    </xdr:pic>
    <xdr:clientData/>
  </xdr:twoCellAnchor>
  <xdr:twoCellAnchor editAs="oneCell">
    <xdr:from>
      <xdr:col>2</xdr:col>
      <xdr:colOff>118893</xdr:colOff>
      <xdr:row>36</xdr:row>
      <xdr:rowOff>27113</xdr:rowOff>
    </xdr:from>
    <xdr:to>
      <xdr:col>2</xdr:col>
      <xdr:colOff>968221</xdr:colOff>
      <xdr:row>36</xdr:row>
      <xdr:rowOff>743393</xdr:rowOff>
    </xdr:to>
    <xdr:pic>
      <xdr:nvPicPr>
        <xdr:cNvPr id="17" name="Picture 16">
          <a:extLst>
            <a:ext uri="{FF2B5EF4-FFF2-40B4-BE49-F238E27FC236}">
              <a16:creationId xmlns:a16="http://schemas.microsoft.com/office/drawing/2014/main" id="{10FBDD41-132C-4F91-BF77-143A748FA9C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1233207" y="8644970"/>
          <a:ext cx="849328" cy="704850"/>
        </a:xfrm>
        <a:prstGeom prst="rect">
          <a:avLst/>
        </a:prstGeom>
        <a:noFill/>
        <a:ln>
          <a:noFill/>
        </a:ln>
      </xdr:spPr>
    </xdr:pic>
    <xdr:clientData/>
  </xdr:twoCellAnchor>
  <xdr:twoCellAnchor editAs="oneCell">
    <xdr:from>
      <xdr:col>2</xdr:col>
      <xdr:colOff>188084</xdr:colOff>
      <xdr:row>35</xdr:row>
      <xdr:rowOff>11751</xdr:rowOff>
    </xdr:from>
    <xdr:to>
      <xdr:col>2</xdr:col>
      <xdr:colOff>895343</xdr:colOff>
      <xdr:row>35</xdr:row>
      <xdr:rowOff>741366</xdr:rowOff>
    </xdr:to>
    <xdr:pic>
      <xdr:nvPicPr>
        <xdr:cNvPr id="18" name="Picture 17" descr="Logo&#10;&#10;Description automatically generated">
          <a:extLst>
            <a:ext uri="{FF2B5EF4-FFF2-40B4-BE49-F238E27FC236}">
              <a16:creationId xmlns:a16="http://schemas.microsoft.com/office/drawing/2014/main" id="{9C5F8A1B-AB7B-498D-85B7-56BA44049F1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13284" y="7921311"/>
          <a:ext cx="707259" cy="73723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0</xdr:colOff>
          <xdr:row>34</xdr:row>
          <xdr:rowOff>15240</xdr:rowOff>
        </xdr:from>
        <xdr:to>
          <xdr:col>6</xdr:col>
          <xdr:colOff>87630</xdr:colOff>
          <xdr:row>35</xdr:row>
          <xdr:rowOff>15240</xdr:rowOff>
        </xdr:to>
        <xdr:pic>
          <xdr:nvPicPr>
            <xdr:cNvPr id="20" name="Picture 19">
              <a:extLst>
                <a:ext uri="{FF2B5EF4-FFF2-40B4-BE49-F238E27FC236}">
                  <a16:creationId xmlns:a16="http://schemas.microsoft.com/office/drawing/2014/main" id="{AB14D78F-A308-F074-E42E-CA63C272EE02}"/>
                </a:ext>
              </a:extLst>
            </xdr:cNvPr>
            <xdr:cNvPicPr>
              <a:picLocks noChangeAspect="1" noChangeArrowheads="1"/>
              <a:extLst>
                <a:ext uri="{84589F7E-364E-4C9E-8A38-B11213B215E9}">
                  <a14:cameraTool cellRange="Logo" spid="_x0000_s1698"/>
                </a:ext>
              </a:extLst>
            </xdr:cNvPicPr>
          </xdr:nvPicPr>
          <xdr:blipFill>
            <a:blip xmlns:r="http://schemas.openxmlformats.org/officeDocument/2006/relationships" r:embed="rId6"/>
            <a:srcRect/>
            <a:stretch>
              <a:fillRect/>
            </a:stretch>
          </xdr:blipFill>
          <xdr:spPr bwMode="auto">
            <a:xfrm>
              <a:off x="3596640" y="6271260"/>
              <a:ext cx="142494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60960</xdr:colOff>
      <xdr:row>38</xdr:row>
      <xdr:rowOff>152400</xdr:rowOff>
    </xdr:from>
    <xdr:to>
      <xdr:col>2</xdr:col>
      <xdr:colOff>1419901</xdr:colOff>
      <xdr:row>38</xdr:row>
      <xdr:rowOff>648268</xdr:rowOff>
    </xdr:to>
    <xdr:pic>
      <xdr:nvPicPr>
        <xdr:cNvPr id="2" name="Picture 1">
          <a:extLst>
            <a:ext uri="{FF2B5EF4-FFF2-40B4-BE49-F238E27FC236}">
              <a16:creationId xmlns:a16="http://schemas.microsoft.com/office/drawing/2014/main" id="{ECAF3DCD-53DA-4310-895E-C65D996BD0C4}"/>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1267" b="19271"/>
        <a:stretch/>
      </xdr:blipFill>
      <xdr:spPr>
        <a:xfrm>
          <a:off x="1920240" y="9456420"/>
          <a:ext cx="1355131" cy="49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160020</xdr:colOff>
      <xdr:row>53</xdr:row>
      <xdr:rowOff>22860</xdr:rowOff>
    </xdr:from>
    <xdr:ext cx="712568" cy="259080"/>
    <xdr:pic>
      <xdr:nvPicPr>
        <xdr:cNvPr id="4" name="Picture 3">
          <a:extLst>
            <a:ext uri="{FF2B5EF4-FFF2-40B4-BE49-F238E27FC236}">
              <a16:creationId xmlns:a16="http://schemas.microsoft.com/office/drawing/2014/main" id="{A89EB338-552B-4A0D-8973-ECBCD7062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3140" y="8557260"/>
          <a:ext cx="712568" cy="259080"/>
        </a:xfrm>
        <a:prstGeom prst="rect">
          <a:avLst/>
        </a:prstGeom>
      </xdr:spPr>
    </xdr:pic>
    <xdr:clientData/>
  </xdr:oneCellAnchor>
  <xdr:oneCellAnchor>
    <xdr:from>
      <xdr:col>32</xdr:col>
      <xdr:colOff>2540</xdr:colOff>
      <xdr:row>102</xdr:row>
      <xdr:rowOff>82550</xdr:rowOff>
    </xdr:from>
    <xdr:ext cx="712568" cy="259080"/>
    <xdr:pic>
      <xdr:nvPicPr>
        <xdr:cNvPr id="5" name="Picture 4">
          <a:extLst>
            <a:ext uri="{FF2B5EF4-FFF2-40B4-BE49-F238E27FC236}">
              <a16:creationId xmlns:a16="http://schemas.microsoft.com/office/drawing/2014/main" id="{4FADBA19-A477-4875-9B90-4FA3083DB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5040" y="17081500"/>
          <a:ext cx="712568" cy="259080"/>
        </a:xfrm>
        <a:prstGeom prst="rect">
          <a:avLst/>
        </a:prstGeom>
      </xdr:spPr>
    </xdr:pic>
    <xdr:clientData/>
  </xdr:oneCellAnchor>
  <xdr:oneCellAnchor>
    <xdr:from>
      <xdr:col>32</xdr:col>
      <xdr:colOff>15240</xdr:colOff>
      <xdr:row>146</xdr:row>
      <xdr:rowOff>0</xdr:rowOff>
    </xdr:from>
    <xdr:ext cx="712568" cy="259080"/>
    <xdr:pic>
      <xdr:nvPicPr>
        <xdr:cNvPr id="9" name="Picture 8">
          <a:extLst>
            <a:ext uri="{FF2B5EF4-FFF2-40B4-BE49-F238E27FC236}">
              <a16:creationId xmlns:a16="http://schemas.microsoft.com/office/drawing/2014/main" id="{7BC2CF75-5770-4B37-871F-A03693792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7740" y="2528570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158750</xdr:colOff>
          <xdr:row>4</xdr:row>
          <xdr:rowOff>0</xdr:rowOff>
        </xdr:to>
        <xdr:pic>
          <xdr:nvPicPr>
            <xdr:cNvPr id="7" name="Picture 6">
              <a:extLst>
                <a:ext uri="{FF2B5EF4-FFF2-40B4-BE49-F238E27FC236}">
                  <a16:creationId xmlns:a16="http://schemas.microsoft.com/office/drawing/2014/main" id="{E347A45E-F3C6-02F3-570E-43F54C08818C}"/>
                </a:ext>
              </a:extLst>
            </xdr:cNvPr>
            <xdr:cNvPicPr>
              <a:picLocks noChangeAspect="1" noChangeArrowheads="1"/>
              <a:extLst>
                <a:ext uri="{84589F7E-364E-4C9E-8A38-B11213B215E9}">
                  <a14:cameraTool cellRange="Logo" spid="_x0000_s12582"/>
                </a:ext>
              </a:extLst>
            </xdr:cNvPicPr>
          </xdr:nvPicPr>
          <xdr:blipFill>
            <a:blip xmlns:r="http://schemas.openxmlformats.org/officeDocument/2006/relationships" r:embed="rId2"/>
            <a:srcRect/>
            <a:stretch>
              <a:fillRect/>
            </a:stretch>
          </xdr:blipFill>
          <xdr:spPr bwMode="auto">
            <a:xfrm>
              <a:off x="0" y="0"/>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0</xdr:row>
          <xdr:rowOff>0</xdr:rowOff>
        </xdr:from>
        <xdr:to>
          <xdr:col>51</xdr:col>
          <xdr:colOff>25400</xdr:colOff>
          <xdr:row>4</xdr:row>
          <xdr:rowOff>0</xdr:rowOff>
        </xdr:to>
        <xdr:pic>
          <xdr:nvPicPr>
            <xdr:cNvPr id="11" name="Picture 10">
              <a:extLst>
                <a:ext uri="{FF2B5EF4-FFF2-40B4-BE49-F238E27FC236}">
                  <a16:creationId xmlns:a16="http://schemas.microsoft.com/office/drawing/2014/main" id="{4F7F737B-BA5D-FBFC-9A08-6865C6C4ED2D}"/>
                </a:ext>
              </a:extLst>
            </xdr:cNvPr>
            <xdr:cNvPicPr>
              <a:picLocks noChangeAspect="1" noChangeArrowheads="1"/>
              <a:extLst>
                <a:ext uri="{84589F7E-364E-4C9E-8A38-B11213B215E9}">
                  <a14:cameraTool cellRange="Logo" spid="_x0000_s12583"/>
                </a:ext>
              </a:extLst>
            </xdr:cNvPicPr>
          </xdr:nvPicPr>
          <xdr:blipFill>
            <a:blip xmlns:r="http://schemas.openxmlformats.org/officeDocument/2006/relationships" r:embed="rId2"/>
            <a:srcRect/>
            <a:stretch>
              <a:fillRect/>
            </a:stretch>
          </xdr:blipFill>
          <xdr:spPr bwMode="auto">
            <a:xfrm>
              <a:off x="7112000" y="0"/>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32</xdr:col>
      <xdr:colOff>21590</xdr:colOff>
      <xdr:row>200</xdr:row>
      <xdr:rowOff>95250</xdr:rowOff>
    </xdr:from>
    <xdr:ext cx="712568" cy="259080"/>
    <xdr:pic>
      <xdr:nvPicPr>
        <xdr:cNvPr id="3" name="Picture 2">
          <a:extLst>
            <a:ext uri="{FF2B5EF4-FFF2-40B4-BE49-F238E27FC236}">
              <a16:creationId xmlns:a16="http://schemas.microsoft.com/office/drawing/2014/main" id="{918EAE78-A9C2-4725-A92A-8545EB013F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4090" y="33667700"/>
          <a:ext cx="712568" cy="2590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31</xdr:col>
      <xdr:colOff>187325</xdr:colOff>
      <xdr:row>112</xdr:row>
      <xdr:rowOff>102235</xdr:rowOff>
    </xdr:from>
    <xdr:ext cx="712568" cy="259080"/>
    <xdr:pic>
      <xdr:nvPicPr>
        <xdr:cNvPr id="2" name="Picture 1" descr="A blue text on a white background&#10;&#10;Description automatically generated">
          <a:extLst>
            <a:ext uri="{FF2B5EF4-FFF2-40B4-BE49-F238E27FC236}">
              <a16:creationId xmlns:a16="http://schemas.microsoft.com/office/drawing/2014/main" id="{DA9AEFC6-5F4A-42AF-BE2A-C955C58F9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150" y="1789112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43</xdr:col>
          <xdr:colOff>98425</xdr:colOff>
          <xdr:row>0</xdr:row>
          <xdr:rowOff>19685</xdr:rowOff>
        </xdr:from>
        <xdr:to>
          <xdr:col>51</xdr:col>
          <xdr:colOff>3175</xdr:colOff>
          <xdr:row>4</xdr:row>
          <xdr:rowOff>19685</xdr:rowOff>
        </xdr:to>
        <xdr:pic>
          <xdr:nvPicPr>
            <xdr:cNvPr id="3" name="Picture 2">
              <a:extLst>
                <a:ext uri="{FF2B5EF4-FFF2-40B4-BE49-F238E27FC236}">
                  <a16:creationId xmlns:a16="http://schemas.microsoft.com/office/drawing/2014/main" id="{DB19C79A-A5BA-4DB2-800F-9066BCDC940C}"/>
                </a:ext>
              </a:extLst>
            </xdr:cNvPr>
            <xdr:cNvPicPr>
              <a:picLocks noChangeAspect="1" noChangeArrowheads="1"/>
              <a:extLst>
                <a:ext uri="{84589F7E-364E-4C9E-8A38-B11213B215E9}">
                  <a14:cameraTool cellRange="Logo" spid="_x0000_s8778"/>
                </a:ext>
              </a:extLst>
            </xdr:cNvPicPr>
          </xdr:nvPicPr>
          <xdr:blipFill>
            <a:blip xmlns:r="http://schemas.openxmlformats.org/officeDocument/2006/relationships" r:embed="rId2"/>
            <a:srcRect/>
            <a:stretch>
              <a:fillRect/>
            </a:stretch>
          </xdr:blipFill>
          <xdr:spPr bwMode="auto">
            <a:xfrm>
              <a:off x="7210425" y="19685"/>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31</xdr:col>
      <xdr:colOff>187325</xdr:colOff>
      <xdr:row>65</xdr:row>
      <xdr:rowOff>0</xdr:rowOff>
    </xdr:from>
    <xdr:ext cx="712568" cy="259080"/>
    <xdr:pic>
      <xdr:nvPicPr>
        <xdr:cNvPr id="4" name="Picture 3">
          <a:extLst>
            <a:ext uri="{FF2B5EF4-FFF2-40B4-BE49-F238E27FC236}">
              <a16:creationId xmlns:a16="http://schemas.microsoft.com/office/drawing/2014/main" id="{7CB8F984-91D7-48FF-B0ED-21CBBEA096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150" y="8899525"/>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158750</xdr:colOff>
          <xdr:row>4</xdr:row>
          <xdr:rowOff>0</xdr:rowOff>
        </xdr:to>
        <xdr:pic>
          <xdr:nvPicPr>
            <xdr:cNvPr id="5" name="Picture 4">
              <a:extLst>
                <a:ext uri="{FF2B5EF4-FFF2-40B4-BE49-F238E27FC236}">
                  <a16:creationId xmlns:a16="http://schemas.microsoft.com/office/drawing/2014/main" id="{1B0FE7B4-6CF3-4E91-9B48-6DF1B794F927}"/>
                </a:ext>
              </a:extLst>
            </xdr:cNvPr>
            <xdr:cNvPicPr>
              <a:picLocks noChangeAspect="1"/>
              <a:extLst>
                <a:ext uri="{84589F7E-364E-4C9E-8A38-B11213B215E9}">
                  <a14:cameraTool cellRange="Logo" spid="_x0000_s8779"/>
                </a:ext>
              </a:extLst>
            </xdr:cNvPicPr>
          </xdr:nvPicPr>
          <xdr:blipFill rotWithShape="1">
            <a:blip xmlns:r="http://schemas.openxmlformats.org/officeDocument/2006/relationships" r:embed="rId2"/>
            <a:stretch>
              <a:fillRect/>
            </a:stretch>
          </xdr:blipFill>
          <xdr:spPr bwMode="auto">
            <a:xfrm>
              <a:off x="0" y="0"/>
              <a:ext cx="1428750" cy="762000"/>
            </a:xfrm>
            <a:prstGeom prst="rect">
              <a:avLst/>
            </a:prstGeom>
            <a:noFill/>
            <a:ln>
              <a:noFill/>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33</xdr:col>
      <xdr:colOff>142240</xdr:colOff>
      <xdr:row>57</xdr:row>
      <xdr:rowOff>91440</xdr:rowOff>
    </xdr:from>
    <xdr:ext cx="712568" cy="259080"/>
    <xdr:pic>
      <xdr:nvPicPr>
        <xdr:cNvPr id="6" name="Picture 5">
          <a:extLst>
            <a:ext uri="{FF2B5EF4-FFF2-40B4-BE49-F238E27FC236}">
              <a16:creationId xmlns:a16="http://schemas.microsoft.com/office/drawing/2014/main" id="{9D60A0B2-5823-4ACD-935B-9AF1728BF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7280" y="9235440"/>
          <a:ext cx="712568" cy="259080"/>
        </a:xfrm>
        <a:prstGeom prst="rect">
          <a:avLst/>
        </a:prstGeom>
      </xdr:spPr>
    </xdr:pic>
    <xdr:clientData/>
  </xdr:oneCellAnchor>
  <xdr:oneCellAnchor>
    <xdr:from>
      <xdr:col>33</xdr:col>
      <xdr:colOff>142240</xdr:colOff>
      <xdr:row>104</xdr:row>
      <xdr:rowOff>91440</xdr:rowOff>
    </xdr:from>
    <xdr:ext cx="712568" cy="259080"/>
    <xdr:pic>
      <xdr:nvPicPr>
        <xdr:cNvPr id="7" name="Picture 6">
          <a:extLst>
            <a:ext uri="{FF2B5EF4-FFF2-40B4-BE49-F238E27FC236}">
              <a16:creationId xmlns:a16="http://schemas.microsoft.com/office/drawing/2014/main" id="{1ECB30E9-64FF-4324-8AC5-645D2B81B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7280" y="9235440"/>
          <a:ext cx="712568" cy="259080"/>
        </a:xfrm>
        <a:prstGeom prst="rect">
          <a:avLst/>
        </a:prstGeom>
      </xdr:spPr>
    </xdr:pic>
    <xdr:clientData/>
  </xdr:oneCellAnchor>
  <xdr:oneCellAnchor>
    <xdr:from>
      <xdr:col>33</xdr:col>
      <xdr:colOff>142240</xdr:colOff>
      <xdr:row>149</xdr:row>
      <xdr:rowOff>91440</xdr:rowOff>
    </xdr:from>
    <xdr:ext cx="712568" cy="259080"/>
    <xdr:pic>
      <xdr:nvPicPr>
        <xdr:cNvPr id="8" name="Picture 7">
          <a:extLst>
            <a:ext uri="{FF2B5EF4-FFF2-40B4-BE49-F238E27FC236}">
              <a16:creationId xmlns:a16="http://schemas.microsoft.com/office/drawing/2014/main" id="{5DF91135-C8C3-4848-9AB5-BA9558DCB7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7280" y="9235440"/>
          <a:ext cx="712568" cy="2590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144780</xdr:colOff>
          <xdr:row>3</xdr:row>
          <xdr:rowOff>182880</xdr:rowOff>
        </xdr:to>
        <xdr:pic>
          <xdr:nvPicPr>
            <xdr:cNvPr id="11" name="Picture 10">
              <a:extLst>
                <a:ext uri="{FF2B5EF4-FFF2-40B4-BE49-F238E27FC236}">
                  <a16:creationId xmlns:a16="http://schemas.microsoft.com/office/drawing/2014/main" id="{3B7BF18F-553A-458A-AC81-9F2ACE6711E2}"/>
                </a:ext>
              </a:extLst>
            </xdr:cNvPr>
            <xdr:cNvPicPr>
              <a:picLocks noChangeAspect="1" noChangeArrowheads="1"/>
              <a:extLst>
                <a:ext uri="{84589F7E-364E-4C9E-8A38-B11213B215E9}">
                  <a14:cameraTool cellRange="Logo" spid="_x0000_s17673"/>
                </a:ext>
              </a:extLst>
            </xdr:cNvPicPr>
          </xdr:nvPicPr>
          <xdr:blipFill>
            <a:blip xmlns:r="http://schemas.openxmlformats.org/officeDocument/2006/relationships" r:embed="rId2"/>
            <a:srcRect/>
            <a:stretch>
              <a:fillRect/>
            </a:stretch>
          </xdr:blipFill>
          <xdr:spPr bwMode="auto">
            <a:xfrm>
              <a:off x="0" y="0"/>
              <a:ext cx="1424940" cy="76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0</xdr:row>
          <xdr:rowOff>0</xdr:rowOff>
        </xdr:from>
        <xdr:to>
          <xdr:col>53</xdr:col>
          <xdr:colOff>25400</xdr:colOff>
          <xdr:row>4</xdr:row>
          <xdr:rowOff>0</xdr:rowOff>
        </xdr:to>
        <xdr:pic>
          <xdr:nvPicPr>
            <xdr:cNvPr id="13" name="Picture 12">
              <a:extLst>
                <a:ext uri="{FF2B5EF4-FFF2-40B4-BE49-F238E27FC236}">
                  <a16:creationId xmlns:a16="http://schemas.microsoft.com/office/drawing/2014/main" id="{48ED1FBB-CA88-FF8F-4FA7-AC949F1E808B}"/>
                </a:ext>
              </a:extLst>
            </xdr:cNvPr>
            <xdr:cNvPicPr>
              <a:picLocks noChangeAspect="1" noChangeArrowheads="1"/>
              <a:extLst>
                <a:ext uri="{84589F7E-364E-4C9E-8A38-B11213B215E9}">
                  <a14:cameraTool cellRange="Logo" spid="_x0000_s17674"/>
                </a:ext>
              </a:extLst>
            </xdr:cNvPicPr>
          </xdr:nvPicPr>
          <xdr:blipFill>
            <a:blip xmlns:r="http://schemas.openxmlformats.org/officeDocument/2006/relationships" r:embed="rId2"/>
            <a:srcRect/>
            <a:stretch>
              <a:fillRect/>
            </a:stretch>
          </xdr:blipFill>
          <xdr:spPr bwMode="auto">
            <a:xfrm>
              <a:off x="7353300" y="0"/>
              <a:ext cx="1428750" cy="76200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33</xdr:col>
      <xdr:colOff>95885</xdr:colOff>
      <xdr:row>199</xdr:row>
      <xdr:rowOff>50800</xdr:rowOff>
    </xdr:from>
    <xdr:ext cx="712568" cy="259080"/>
    <xdr:pic>
      <xdr:nvPicPr>
        <xdr:cNvPr id="2" name="Picture 1">
          <a:extLst>
            <a:ext uri="{FF2B5EF4-FFF2-40B4-BE49-F238E27FC236}">
              <a16:creationId xmlns:a16="http://schemas.microsoft.com/office/drawing/2014/main" id="{B9C7CDC6-2939-4815-B6EE-0612FF730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8085" y="33623250"/>
          <a:ext cx="712568" cy="2590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0EFB0-EACE-4F2E-965F-30EBADAB0D63}" name="T_Material" displayName="T_Material" ref="A1:A10" totalsRowShown="0">
  <autoFilter ref="A1:A10" xr:uid="{4350EFB0-EACE-4F2E-965F-30EBADAB0D63}"/>
  <sortState xmlns:xlrd2="http://schemas.microsoft.com/office/spreadsheetml/2017/richdata2" ref="A2:A10">
    <sortCondition ref="A2:A10"/>
  </sortState>
  <tableColumns count="1">
    <tableColumn id="1" xr3:uid="{20635FEE-B87A-4613-8116-D42DBA41BC7B}" name="Materi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39741E-8EC4-48CA-B62A-CDE619601AF9}" name="T_Shape" displayName="T_Shape" ref="C1:C10" totalsRowShown="0">
  <autoFilter ref="C1:C10" xr:uid="{6939741E-8EC4-48CA-B62A-CDE619601AF9}"/>
  <sortState xmlns:xlrd2="http://schemas.microsoft.com/office/spreadsheetml/2017/richdata2" ref="C2:C10">
    <sortCondition ref="C2:C10"/>
  </sortState>
  <tableColumns count="1">
    <tableColumn id="1" xr3:uid="{FCA45FDF-4BF6-485F-9343-A0FC0251070A}" name="Sha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97A227-8DCB-4BDE-A6B8-65F88654921D}" name="T_Type" displayName="T_Type" ref="E1:E5" totalsRowShown="0">
  <autoFilter ref="E1:E5" xr:uid="{2397A227-8DCB-4BDE-A6B8-65F88654921D}"/>
  <tableColumns count="1">
    <tableColumn id="1" xr3:uid="{027BD434-05A1-4059-97D8-98CB878E91EF}" name="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C10C78-AF29-47BA-9C97-B74BAA8C7E1E}" name="T_Response" displayName="T_Response" ref="G1:G17" totalsRowShown="0">
  <autoFilter ref="G1:G17" xr:uid="{88C10C78-AF29-47BA-9C97-B74BAA8C7E1E}"/>
  <tableColumns count="1">
    <tableColumn id="1" xr3:uid="{C70FD3B5-6EE9-47D3-96F9-BC5D876984C6}" name="Design Respons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84083F-7099-4325-9E71-9989422C4A8A}" name="T_Registration" displayName="T_Registration" ref="G24:H31" totalsRowShown="0" headerRowDxfId="336" dataDxfId="335">
  <autoFilter ref="G24:H31" xr:uid="{E584083F-7099-4325-9E71-9989422C4A8A}"/>
  <tableColumns count="2">
    <tableColumn id="1" xr3:uid="{4D3FB0BF-3EE0-451B-9A8B-ABF0C11393E9}" name="Registration" dataDxfId="334"/>
    <tableColumn id="2" xr3:uid="{84383726-1369-4CE4-AB5E-755F557EDD9A}" name="Acronym" dataDxfId="33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CB43-2341-4A92-ACD7-244D3FF85EAC}">
  <sheetPr codeName="Sheet3">
    <tabColor rgb="FFFF0000"/>
  </sheetPr>
  <dimension ref="A1:N40"/>
  <sheetViews>
    <sheetView showGridLines="0" zoomScaleNormal="100" workbookViewId="0">
      <selection activeCell="C14" sqref="C14"/>
    </sheetView>
  </sheetViews>
  <sheetFormatPr defaultRowHeight="14.4" x14ac:dyDescent="0.3"/>
  <cols>
    <col min="1" max="1" width="23.33203125" bestFit="1" customWidth="1"/>
    <col min="2" max="2" width="3.77734375" customWidth="1"/>
    <col min="3" max="3" width="20.77734375" customWidth="1"/>
    <col min="4" max="4" width="4.5546875" bestFit="1" customWidth="1"/>
    <col min="5" max="5" width="15.77734375" customWidth="1"/>
    <col min="6" max="6" width="3.77734375" customWidth="1"/>
    <col min="7" max="7" width="72.6640625" bestFit="1" customWidth="1"/>
    <col min="8" max="8" width="15.77734375" customWidth="1"/>
    <col min="9" max="9" width="23.33203125" bestFit="1" customWidth="1"/>
    <col min="10" max="14" width="15.77734375" customWidth="1"/>
  </cols>
  <sheetData>
    <row r="1" spans="1:14" x14ac:dyDescent="0.3">
      <c r="A1" t="s">
        <v>24</v>
      </c>
      <c r="C1" t="s">
        <v>34</v>
      </c>
      <c r="E1" t="s">
        <v>67</v>
      </c>
      <c r="G1" t="s">
        <v>85</v>
      </c>
      <c r="H1">
        <v>1</v>
      </c>
      <c r="I1" s="119" t="s">
        <v>312</v>
      </c>
      <c r="J1" s="120" t="s">
        <v>165</v>
      </c>
      <c r="K1" s="120" t="s">
        <v>244</v>
      </c>
      <c r="L1" s="120" t="s">
        <v>167</v>
      </c>
      <c r="M1" s="120" t="s">
        <v>164</v>
      </c>
      <c r="N1" s="120" t="s">
        <v>166</v>
      </c>
    </row>
    <row r="2" spans="1:14" x14ac:dyDescent="0.3">
      <c r="A2" t="s">
        <v>25</v>
      </c>
      <c r="C2" t="s">
        <v>373</v>
      </c>
      <c r="E2" t="s">
        <v>220</v>
      </c>
      <c r="G2" t="s">
        <v>308</v>
      </c>
      <c r="H2">
        <f>H1+1</f>
        <v>2</v>
      </c>
      <c r="I2" s="103" t="s">
        <v>5</v>
      </c>
      <c r="J2" s="105">
        <v>1.1000000000000001</v>
      </c>
      <c r="K2" s="105">
        <v>1.1000000000000001</v>
      </c>
      <c r="L2" s="105">
        <v>1.2</v>
      </c>
      <c r="M2" s="105">
        <v>1.1000000000000001</v>
      </c>
      <c r="N2" s="106">
        <v>1.1000000000000001</v>
      </c>
    </row>
    <row r="3" spans="1:14" x14ac:dyDescent="0.3">
      <c r="A3" t="s">
        <v>75</v>
      </c>
      <c r="C3" t="s">
        <v>374</v>
      </c>
      <c r="E3" t="s">
        <v>221</v>
      </c>
      <c r="G3" t="s">
        <v>80</v>
      </c>
      <c r="H3">
        <f t="shared" ref="H3:H20" si="0">H2+1</f>
        <v>3</v>
      </c>
      <c r="I3" s="103" t="s">
        <v>6</v>
      </c>
      <c r="J3" s="105">
        <v>4.1100000000000003</v>
      </c>
      <c r="K3" s="105">
        <v>4.1399999999999997</v>
      </c>
      <c r="L3" s="105">
        <v>5.7</v>
      </c>
      <c r="M3" s="105">
        <v>4.24</v>
      </c>
      <c r="N3" s="106">
        <v>4.21</v>
      </c>
    </row>
    <row r="4" spans="1:14" x14ac:dyDescent="0.3">
      <c r="A4" t="s">
        <v>76</v>
      </c>
      <c r="C4" t="s">
        <v>203</v>
      </c>
      <c r="E4" t="s">
        <v>318</v>
      </c>
      <c r="G4" t="s">
        <v>86</v>
      </c>
      <c r="H4">
        <f t="shared" si="0"/>
        <v>4</v>
      </c>
      <c r="I4" s="103" t="s">
        <v>7</v>
      </c>
      <c r="J4" s="105">
        <v>5.01</v>
      </c>
      <c r="K4" s="105">
        <v>5.0599999999999996</v>
      </c>
      <c r="L4" s="105">
        <v>7.21</v>
      </c>
      <c r="M4" s="105">
        <v>5.3</v>
      </c>
      <c r="N4" s="106">
        <v>5.24</v>
      </c>
    </row>
    <row r="5" spans="1:14" x14ac:dyDescent="0.3">
      <c r="A5" t="s">
        <v>29</v>
      </c>
      <c r="C5" t="s">
        <v>202</v>
      </c>
      <c r="E5" t="s">
        <v>296</v>
      </c>
      <c r="G5" t="s">
        <v>77</v>
      </c>
      <c r="H5">
        <f t="shared" si="0"/>
        <v>5</v>
      </c>
      <c r="I5" s="103" t="s">
        <v>8</v>
      </c>
      <c r="J5" s="105">
        <v>5.87</v>
      </c>
      <c r="K5" s="105">
        <v>5.91</v>
      </c>
      <c r="L5" s="105">
        <v>8.6300000000000008</v>
      </c>
      <c r="M5" s="105">
        <v>6.24</v>
      </c>
      <c r="N5" s="106">
        <v>6.17</v>
      </c>
    </row>
    <row r="6" spans="1:14" x14ac:dyDescent="0.3">
      <c r="A6" t="s">
        <v>27</v>
      </c>
      <c r="C6" t="s">
        <v>205</v>
      </c>
      <c r="G6" t="str">
        <f>"Velocity &gt; "&amp;C26&amp;" ft/s"</f>
        <v>Velocity &gt; 6 ft/s</v>
      </c>
      <c r="H6">
        <f t="shared" si="0"/>
        <v>6</v>
      </c>
      <c r="I6" s="103" t="s">
        <v>9</v>
      </c>
      <c r="J6" s="105">
        <v>7.21</v>
      </c>
      <c r="K6" s="105">
        <v>7.26</v>
      </c>
      <c r="L6" s="105">
        <v>10.8</v>
      </c>
      <c r="M6" s="105">
        <v>7.64</v>
      </c>
      <c r="N6" s="106">
        <v>7.55</v>
      </c>
    </row>
    <row r="7" spans="1:14" x14ac:dyDescent="0.3">
      <c r="A7" t="s">
        <v>26</v>
      </c>
      <c r="C7" t="s">
        <v>204</v>
      </c>
      <c r="G7" t="s">
        <v>117</v>
      </c>
      <c r="H7">
        <f t="shared" si="0"/>
        <v>7</v>
      </c>
      <c r="I7" s="103" t="s">
        <v>372</v>
      </c>
      <c r="J7" s="105">
        <v>8.3699999999999992</v>
      </c>
      <c r="K7" s="105">
        <v>8.48</v>
      </c>
      <c r="L7" s="105">
        <v>12.7</v>
      </c>
      <c r="M7" s="105">
        <v>8.8000000000000007</v>
      </c>
      <c r="N7" s="106">
        <v>8.6999999999999993</v>
      </c>
    </row>
    <row r="8" spans="1:14" x14ac:dyDescent="0.3">
      <c r="A8" t="s">
        <v>31</v>
      </c>
      <c r="C8" t="s">
        <v>451</v>
      </c>
      <c r="G8" t="s">
        <v>116</v>
      </c>
      <c r="H8">
        <f t="shared" si="0"/>
        <v>8</v>
      </c>
      <c r="I8" s="103" t="s">
        <v>10</v>
      </c>
      <c r="J8" s="105">
        <v>9.65</v>
      </c>
      <c r="K8" s="105">
        <v>9.83</v>
      </c>
      <c r="L8" s="105">
        <v>14.8</v>
      </c>
      <c r="M8" s="105">
        <v>10</v>
      </c>
      <c r="N8" s="106">
        <v>9.93</v>
      </c>
    </row>
    <row r="9" spans="1:14" ht="15.6" x14ac:dyDescent="0.35">
      <c r="A9" t="s">
        <v>28</v>
      </c>
      <c r="C9" t="s">
        <v>309</v>
      </c>
      <c r="G9" t="s">
        <v>158</v>
      </c>
      <c r="H9">
        <f t="shared" si="0"/>
        <v>9</v>
      </c>
      <c r="I9" s="103" t="s">
        <v>247</v>
      </c>
      <c r="J9" s="109" t="s">
        <v>248</v>
      </c>
      <c r="K9" s="109" t="s">
        <v>249</v>
      </c>
      <c r="L9" s="109" t="s">
        <v>250</v>
      </c>
      <c r="M9" s="109" t="s">
        <v>250</v>
      </c>
      <c r="N9" s="109" t="s">
        <v>251</v>
      </c>
    </row>
    <row r="10" spans="1:14" x14ac:dyDescent="0.3">
      <c r="A10" t="s">
        <v>74</v>
      </c>
      <c r="C10" t="s">
        <v>31</v>
      </c>
      <c r="G10" t="s">
        <v>443</v>
      </c>
      <c r="H10">
        <f t="shared" si="0"/>
        <v>10</v>
      </c>
      <c r="I10" s="103" t="s">
        <v>252</v>
      </c>
      <c r="J10" t="s">
        <v>253</v>
      </c>
      <c r="K10" t="s">
        <v>254</v>
      </c>
      <c r="L10" t="s">
        <v>253</v>
      </c>
      <c r="M10" t="s">
        <v>253</v>
      </c>
      <c r="N10" t="s">
        <v>253</v>
      </c>
    </row>
    <row r="11" spans="1:14" x14ac:dyDescent="0.3">
      <c r="G11" t="s">
        <v>300</v>
      </c>
      <c r="H11">
        <f t="shared" si="0"/>
        <v>11</v>
      </c>
      <c r="I11" s="103" t="s">
        <v>255</v>
      </c>
      <c r="J11" t="s">
        <v>256</v>
      </c>
      <c r="K11" t="s">
        <v>125</v>
      </c>
      <c r="L11" t="s">
        <v>125</v>
      </c>
      <c r="M11" t="s">
        <v>125</v>
      </c>
      <c r="N11" t="s">
        <v>125</v>
      </c>
    </row>
    <row r="12" spans="1:14" ht="16.2" x14ac:dyDescent="0.3">
      <c r="G12" t="s">
        <v>378</v>
      </c>
      <c r="H12">
        <f t="shared" si="0"/>
        <v>12</v>
      </c>
      <c r="I12" s="103" t="s">
        <v>310</v>
      </c>
      <c r="L12" t="s">
        <v>316</v>
      </c>
      <c r="M12" t="s">
        <v>364</v>
      </c>
    </row>
    <row r="13" spans="1:14" x14ac:dyDescent="0.3">
      <c r="A13" s="103" t="s">
        <v>239</v>
      </c>
      <c r="C13" s="115">
        <v>45566</v>
      </c>
      <c r="G13" t="str">
        <f>C25&amp;" has not been provided"</f>
        <v>ENG No. has not been provided</v>
      </c>
      <c r="H13">
        <f t="shared" si="0"/>
        <v>13</v>
      </c>
      <c r="I13" s="103" t="s">
        <v>311</v>
      </c>
      <c r="J13">
        <v>6</v>
      </c>
      <c r="K13">
        <v>5</v>
      </c>
      <c r="L13">
        <v>5</v>
      </c>
      <c r="M13">
        <v>6</v>
      </c>
      <c r="N13">
        <v>6</v>
      </c>
    </row>
    <row r="14" spans="1:14" x14ac:dyDescent="0.3">
      <c r="A14" s="107" t="s">
        <v>168</v>
      </c>
      <c r="C14" s="108" t="s">
        <v>164</v>
      </c>
      <c r="G14" t="s">
        <v>431</v>
      </c>
      <c r="H14">
        <f t="shared" si="0"/>
        <v>14</v>
      </c>
      <c r="I14" s="103" t="s">
        <v>338</v>
      </c>
      <c r="J14" s="134"/>
      <c r="K14" s="134"/>
      <c r="L14" s="135" t="s">
        <v>440</v>
      </c>
      <c r="M14" s="135" t="s">
        <v>339</v>
      </c>
      <c r="N14" s="135" t="s">
        <v>340</v>
      </c>
    </row>
    <row r="15" spans="1:14" x14ac:dyDescent="0.3">
      <c r="A15" s="103" t="s">
        <v>5</v>
      </c>
      <c r="C15" s="105">
        <f>HLOOKUP($C$14,$J$1:$N$13,2)</f>
        <v>1.1000000000000001</v>
      </c>
      <c r="D15" s="104" t="str">
        <f>TEXT(C15,"0.00")</f>
        <v>1.10</v>
      </c>
      <c r="G15" t="str">
        <f>"Known flooding:  2, 5, 10, 25, 50, or 100-yr discharge &gt; "&amp;C30&amp;"-yr discharge"</f>
        <v>Known flooding:  2, 5, 10, 25, 50, or 100-yr discharge &gt; 0-yr discharge</v>
      </c>
      <c r="H15">
        <f t="shared" si="0"/>
        <v>15</v>
      </c>
      <c r="I15" s="103" t="s">
        <v>376</v>
      </c>
      <c r="J15" t="s">
        <v>380</v>
      </c>
      <c r="K15" t="s">
        <v>377</v>
      </c>
      <c r="L15" t="s">
        <v>380</v>
      </c>
      <c r="M15" t="s">
        <v>380</v>
      </c>
      <c r="N15" t="s">
        <v>380</v>
      </c>
    </row>
    <row r="16" spans="1:14" x14ac:dyDescent="0.3">
      <c r="A16" s="103" t="s">
        <v>6</v>
      </c>
      <c r="C16" s="105">
        <f>HLOOKUP($C$14,$J$1:$N$13,3)</f>
        <v>4.24</v>
      </c>
      <c r="G16" t="str">
        <f>"Drains to adjacent property:  2, 5, 10, 25, 50, or 100-yr discharge &gt; "&amp;C32&amp;"-yr discharge"</f>
        <v>Drains to adjacent property:  2, 5, 10, 25, 50, or 100-yr discharge &gt; 0-yr discharge</v>
      </c>
      <c r="H16">
        <f t="shared" si="0"/>
        <v>16</v>
      </c>
      <c r="I16" s="103" t="s">
        <v>449</v>
      </c>
      <c r="J16" s="104">
        <v>4</v>
      </c>
      <c r="K16" s="104">
        <v>6</v>
      </c>
      <c r="L16" s="104">
        <v>4</v>
      </c>
      <c r="M16" s="104">
        <v>4</v>
      </c>
      <c r="N16" s="104">
        <v>4</v>
      </c>
    </row>
    <row r="17" spans="1:14" x14ac:dyDescent="0.3">
      <c r="A17" s="103" t="s">
        <v>7</v>
      </c>
      <c r="C17" s="105">
        <f>HLOOKUP($C$14,$J$1:$N$13,4)</f>
        <v>5.3</v>
      </c>
      <c r="D17" s="105"/>
      <c r="G17" t="s">
        <v>447</v>
      </c>
      <c r="H17">
        <f t="shared" si="0"/>
        <v>17</v>
      </c>
      <c r="I17" s="103" t="s">
        <v>450</v>
      </c>
      <c r="J17" s="104" t="s">
        <v>153</v>
      </c>
      <c r="K17" s="104" t="s">
        <v>153</v>
      </c>
      <c r="L17" s="104" t="s">
        <v>191</v>
      </c>
      <c r="M17" s="104" t="s">
        <v>153</v>
      </c>
      <c r="N17" s="104" t="s">
        <v>153</v>
      </c>
    </row>
    <row r="18" spans="1:14" x14ac:dyDescent="0.3">
      <c r="A18" s="103" t="s">
        <v>8</v>
      </c>
      <c r="C18" s="105">
        <f>HLOOKUP($C$14,$J$1:$N$13,5)</f>
        <v>6.24</v>
      </c>
      <c r="H18">
        <f t="shared" si="0"/>
        <v>18</v>
      </c>
      <c r="I18" s="103" t="s">
        <v>458</v>
      </c>
      <c r="J18" s="104"/>
      <c r="K18" s="104"/>
      <c r="L18" s="104">
        <v>25</v>
      </c>
      <c r="M18" s="104"/>
      <c r="N18" s="104"/>
    </row>
    <row r="19" spans="1:14" x14ac:dyDescent="0.3">
      <c r="A19" s="103" t="s">
        <v>9</v>
      </c>
      <c r="C19" s="105">
        <f>HLOOKUP($C$14,$J$1:$N$13,6)</f>
        <v>7.64</v>
      </c>
      <c r="H19">
        <f t="shared" si="0"/>
        <v>19</v>
      </c>
      <c r="I19" s="103" t="s">
        <v>459</v>
      </c>
      <c r="J19" s="104" t="s">
        <v>153</v>
      </c>
      <c r="K19" s="104" t="s">
        <v>153</v>
      </c>
      <c r="L19" s="104" t="s">
        <v>191</v>
      </c>
      <c r="M19" s="104" t="s">
        <v>153</v>
      </c>
      <c r="N19" s="104" t="s">
        <v>153</v>
      </c>
    </row>
    <row r="20" spans="1:14" x14ac:dyDescent="0.3">
      <c r="A20" s="103" t="s">
        <v>372</v>
      </c>
      <c r="C20" s="105">
        <f>HLOOKUP($C$14,$J$1:$N$13,7)</f>
        <v>8.8000000000000007</v>
      </c>
      <c r="H20">
        <f t="shared" si="0"/>
        <v>20</v>
      </c>
      <c r="I20" s="103" t="s">
        <v>460</v>
      </c>
      <c r="J20" s="104"/>
      <c r="K20" s="104"/>
      <c r="L20" s="104">
        <v>25</v>
      </c>
      <c r="M20" s="104"/>
      <c r="N20" s="104"/>
    </row>
    <row r="21" spans="1:14" x14ac:dyDescent="0.3">
      <c r="A21" s="103" t="s">
        <v>10</v>
      </c>
      <c r="C21" s="105">
        <f>HLOOKUP($C$14,$J$1:$N$13,8)</f>
        <v>10</v>
      </c>
    </row>
    <row r="22" spans="1:14" x14ac:dyDescent="0.3">
      <c r="A22" s="103" t="s">
        <v>247</v>
      </c>
      <c r="C22" s="110" t="str">
        <f>HLOOKUP($C$14,$J$1:$N$13,9)</f>
        <v>1 October 2015</v>
      </c>
    </row>
    <row r="23" spans="1:14" x14ac:dyDescent="0.3">
      <c r="A23" s="103" t="s">
        <v>257</v>
      </c>
      <c r="C23" s="110" t="str">
        <f>HLOOKUP($C$14,$J$1:$N$13,10)</f>
        <v>City</v>
      </c>
      <c r="G23" s="119" t="s">
        <v>446</v>
      </c>
    </row>
    <row r="24" spans="1:14" x14ac:dyDescent="0.3">
      <c r="A24" s="103" t="s">
        <v>255</v>
      </c>
      <c r="C24" s="110" t="str">
        <f>HLOOKUP($C$14,$J$1:$N$13,11)</f>
        <v xml:space="preserve"> O&amp;M Agreement</v>
      </c>
      <c r="G24" t="s">
        <v>258</v>
      </c>
      <c r="H24" t="s">
        <v>259</v>
      </c>
    </row>
    <row r="25" spans="1:14" x14ac:dyDescent="0.3">
      <c r="A25" s="103" t="s">
        <v>310</v>
      </c>
      <c r="C25" s="105" t="str">
        <f>HLOOKUP($C$14,$J$1:$N$13,12)</f>
        <v>ENG No.</v>
      </c>
    </row>
    <row r="26" spans="1:14" x14ac:dyDescent="0.3">
      <c r="A26" s="103" t="s">
        <v>311</v>
      </c>
      <c r="C26" s="105">
        <f>HLOOKUP($C$14,$J$1:$N$13,13)</f>
        <v>6</v>
      </c>
      <c r="G26" t="s">
        <v>260</v>
      </c>
      <c r="H26" t="s">
        <v>261</v>
      </c>
    </row>
    <row r="27" spans="1:14" x14ac:dyDescent="0.3">
      <c r="A27" s="103" t="s">
        <v>369</v>
      </c>
      <c r="C27" s="134" t="str">
        <f>HLOOKUP($C$14,$J$1:$N$14,14)</f>
        <v>30 Septbember</v>
      </c>
      <c r="G27" t="s">
        <v>262</v>
      </c>
      <c r="H27" t="s">
        <v>263</v>
      </c>
    </row>
    <row r="28" spans="1:14" x14ac:dyDescent="0.3">
      <c r="A28" s="103" t="s">
        <v>376</v>
      </c>
      <c r="C28" s="134" t="str">
        <f>HLOOKUP($C$14,$J$1:$N$15,15)</f>
        <v>2, 5, 10, and 25</v>
      </c>
      <c r="G28" t="s">
        <v>264</v>
      </c>
      <c r="H28" t="s">
        <v>265</v>
      </c>
    </row>
    <row r="29" spans="1:14" x14ac:dyDescent="0.3">
      <c r="A29" s="103" t="s">
        <v>450</v>
      </c>
      <c r="B29" s="151"/>
      <c r="C29" s="134" t="str">
        <f>HLOOKUP($C$14,$J$1:$N$17,17)</f>
        <v>No</v>
      </c>
      <c r="G29" t="s">
        <v>266</v>
      </c>
      <c r="H29" t="s">
        <v>267</v>
      </c>
    </row>
    <row r="30" spans="1:14" x14ac:dyDescent="0.3">
      <c r="A30" t="s">
        <v>458</v>
      </c>
      <c r="C30" s="161">
        <f>HLOOKUP($C$14,$J$1:$N$20,18)</f>
        <v>0</v>
      </c>
      <c r="G30" t="s">
        <v>268</v>
      </c>
      <c r="H30" t="s">
        <v>269</v>
      </c>
    </row>
    <row r="31" spans="1:14" x14ac:dyDescent="0.3">
      <c r="A31" t="s">
        <v>459</v>
      </c>
      <c r="C31" s="134" t="str">
        <f>HLOOKUP($C$14,$J$1:$N$20,19)</f>
        <v>No</v>
      </c>
      <c r="G31" t="s">
        <v>270</v>
      </c>
      <c r="H31" t="s">
        <v>271</v>
      </c>
    </row>
    <row r="32" spans="1:14" x14ac:dyDescent="0.3">
      <c r="A32" t="s">
        <v>460</v>
      </c>
      <c r="C32" s="161">
        <f>HLOOKUP($C$14,$J$1:$N$20,20)</f>
        <v>0</v>
      </c>
    </row>
    <row r="34" spans="2:5" x14ac:dyDescent="0.3">
      <c r="E34" s="119" t="s">
        <v>295</v>
      </c>
    </row>
    <row r="35" spans="2:5" ht="60" customHeight="1" x14ac:dyDescent="0.3">
      <c r="B35" s="103" t="s">
        <v>165</v>
      </c>
    </row>
    <row r="36" spans="2:5" ht="60" customHeight="1" x14ac:dyDescent="0.3">
      <c r="B36" s="103" t="s">
        <v>244</v>
      </c>
    </row>
    <row r="37" spans="2:5" ht="60" customHeight="1" x14ac:dyDescent="0.3">
      <c r="B37" s="103" t="s">
        <v>167</v>
      </c>
    </row>
    <row r="38" spans="2:5" ht="60" customHeight="1" x14ac:dyDescent="0.3">
      <c r="B38" s="103" t="s">
        <v>164</v>
      </c>
    </row>
    <row r="39" spans="2:5" ht="60" customHeight="1" x14ac:dyDescent="0.3">
      <c r="B39" s="103" t="s">
        <v>166</v>
      </c>
    </row>
    <row r="40" spans="2:5" ht="60" customHeight="1" x14ac:dyDescent="0.3"/>
  </sheetData>
  <dataValidations count="1">
    <dataValidation type="list" allowBlank="1" showInputMessage="1" showErrorMessage="1" sqref="C14" xr:uid="{58E92772-55BE-4B52-9E17-5AC0792DBE69}">
      <formula1>$J$1:$N$1</formula1>
    </dataValidation>
  </dataValidations>
  <pageMargins left="0.7" right="0.7" top="0.75" bottom="0.75" header="0.3" footer="0.3"/>
  <pageSetup orientation="portrait" horizontalDpi="1200" verticalDpi="1200" r:id="rId1"/>
  <drawing r:id="rId2"/>
  <legacyDrawing r:id="rId3"/>
  <tableParts count="5">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5DDE-A060-454D-A732-9341AEEC9B54}">
  <sheetPr codeName="Sheet7">
    <tabColor theme="2" tint="-0.499984740745262"/>
    <pageSetUpPr fitToPage="1"/>
  </sheetPr>
  <dimension ref="A1:T57"/>
  <sheetViews>
    <sheetView showGridLines="0" showRowColHeaders="0" tabSelected="1" zoomScale="130" zoomScaleNormal="130" workbookViewId="0">
      <selection activeCell="B1" sqref="B1"/>
    </sheetView>
  </sheetViews>
  <sheetFormatPr defaultColWidth="0" defaultRowHeight="0" customHeight="1" zeroHeight="1" x14ac:dyDescent="0.3"/>
  <cols>
    <col min="1" max="1" width="2.77734375" style="93" customWidth="1"/>
    <col min="2" max="2" width="5.77734375" style="92" customWidth="1"/>
    <col min="3" max="8" width="2.77734375" style="93" customWidth="1"/>
    <col min="9" max="17" width="8.88671875" style="93" customWidth="1"/>
    <col min="18" max="20" width="0" style="93" hidden="1" customWidth="1"/>
    <col min="21" max="16384" width="8.88671875" style="93" hidden="1"/>
  </cols>
  <sheetData>
    <row r="1" spans="2:17" ht="19.95" customHeight="1" x14ac:dyDescent="0.3"/>
    <row r="2" spans="2:17" ht="19.95" customHeight="1" x14ac:dyDescent="0.3">
      <c r="B2" s="94" t="s">
        <v>69</v>
      </c>
    </row>
    <row r="3" spans="2:17" ht="4.95" customHeight="1" x14ac:dyDescent="0.3">
      <c r="B3" s="94"/>
    </row>
    <row r="4" spans="2:17" ht="19.95" customHeight="1" x14ac:dyDescent="0.3">
      <c r="B4" s="92">
        <v>1</v>
      </c>
      <c r="C4" s="163" t="s">
        <v>320</v>
      </c>
      <c r="D4" s="163"/>
      <c r="E4" s="163"/>
      <c r="F4" s="163"/>
      <c r="G4" s="163"/>
      <c r="H4" s="163"/>
      <c r="I4" s="163"/>
      <c r="J4" s="163"/>
      <c r="K4" s="163"/>
      <c r="L4" s="163"/>
      <c r="M4" s="163"/>
      <c r="N4" s="163"/>
      <c r="O4" s="163"/>
      <c r="P4" s="163"/>
      <c r="Q4" s="163"/>
    </row>
    <row r="5" spans="2:17" ht="19.95" customHeight="1" x14ac:dyDescent="0.3">
      <c r="C5" s="163"/>
      <c r="D5" s="163"/>
      <c r="E5" s="163"/>
      <c r="F5" s="163"/>
      <c r="G5" s="163"/>
      <c r="H5" s="163"/>
      <c r="I5" s="163"/>
      <c r="J5" s="163"/>
      <c r="K5" s="163"/>
      <c r="L5" s="163"/>
      <c r="M5" s="163"/>
      <c r="N5" s="163"/>
      <c r="O5" s="163"/>
      <c r="P5" s="163"/>
      <c r="Q5" s="163"/>
    </row>
    <row r="6" spans="2:17" ht="19.95" customHeight="1" x14ac:dyDescent="0.3">
      <c r="B6" s="92">
        <f>B4+1</f>
        <v>2</v>
      </c>
      <c r="C6" s="93" t="s">
        <v>71</v>
      </c>
    </row>
    <row r="7" spans="2:17" ht="19.95" customHeight="1" x14ac:dyDescent="0.3">
      <c r="C7" s="95"/>
      <c r="D7" s="95"/>
      <c r="E7" s="95"/>
      <c r="F7" s="95"/>
      <c r="I7" s="93" t="s">
        <v>68</v>
      </c>
    </row>
    <row r="8" spans="2:17" ht="10.050000000000001" customHeight="1" x14ac:dyDescent="0.3"/>
    <row r="9" spans="2:17" ht="15" customHeight="1" x14ac:dyDescent="0.3">
      <c r="C9" s="96"/>
      <c r="D9" s="96"/>
      <c r="E9" s="96"/>
      <c r="F9" s="96"/>
      <c r="I9" s="162" t="s">
        <v>297</v>
      </c>
      <c r="J9" s="162"/>
      <c r="K9" s="162"/>
      <c r="L9" s="162"/>
      <c r="M9" s="162"/>
      <c r="N9" s="162"/>
      <c r="O9" s="162"/>
      <c r="P9" s="162"/>
      <c r="Q9" s="162"/>
    </row>
    <row r="10" spans="2:17" ht="15" customHeight="1" x14ac:dyDescent="0.3">
      <c r="I10" s="162"/>
      <c r="J10" s="162"/>
      <c r="K10" s="162"/>
      <c r="L10" s="162"/>
      <c r="M10" s="162"/>
      <c r="N10" s="162"/>
      <c r="O10" s="162"/>
      <c r="P10" s="162"/>
      <c r="Q10" s="162"/>
    </row>
    <row r="11" spans="2:17" ht="10.050000000000001" customHeight="1" x14ac:dyDescent="0.3">
      <c r="I11" s="97"/>
      <c r="J11" s="97"/>
      <c r="K11" s="97"/>
      <c r="L11" s="97"/>
      <c r="M11" s="97"/>
      <c r="N11" s="97"/>
      <c r="O11" s="97"/>
      <c r="P11" s="97"/>
      <c r="Q11" s="97"/>
    </row>
    <row r="12" spans="2:17" ht="15" customHeight="1" x14ac:dyDescent="0.3">
      <c r="F12" s="39"/>
      <c r="I12" s="162" t="s">
        <v>327</v>
      </c>
      <c r="J12" s="162"/>
      <c r="K12" s="162"/>
      <c r="L12" s="162"/>
      <c r="M12" s="162"/>
      <c r="N12" s="162"/>
      <c r="O12" s="162"/>
      <c r="P12" s="162"/>
      <c r="Q12" s="162"/>
    </row>
    <row r="13" spans="2:17" ht="15" customHeight="1" x14ac:dyDescent="0.3">
      <c r="I13" s="162"/>
      <c r="J13" s="162"/>
      <c r="K13" s="162"/>
      <c r="L13" s="162"/>
      <c r="M13" s="162"/>
      <c r="N13" s="162"/>
      <c r="O13" s="162"/>
      <c r="P13" s="162"/>
      <c r="Q13" s="162"/>
    </row>
    <row r="14" spans="2:17" ht="15" customHeight="1" x14ac:dyDescent="0.3">
      <c r="I14" s="162"/>
      <c r="J14" s="162"/>
      <c r="K14" s="162"/>
      <c r="L14" s="162"/>
      <c r="M14" s="162"/>
      <c r="N14" s="162"/>
      <c r="O14" s="162"/>
      <c r="P14" s="162"/>
      <c r="Q14" s="162"/>
    </row>
    <row r="15" spans="2:17" ht="15" customHeight="1" x14ac:dyDescent="0.3">
      <c r="I15" s="162"/>
      <c r="J15" s="162"/>
      <c r="K15" s="162"/>
      <c r="L15" s="162"/>
      <c r="M15" s="162"/>
      <c r="N15" s="162"/>
      <c r="O15" s="162"/>
      <c r="P15" s="162"/>
      <c r="Q15" s="162"/>
    </row>
    <row r="16" spans="2:17" ht="10.050000000000001" customHeight="1" x14ac:dyDescent="0.3">
      <c r="I16" s="98"/>
      <c r="J16" s="98"/>
      <c r="K16" s="98"/>
      <c r="L16" s="98"/>
      <c r="M16" s="98"/>
      <c r="N16" s="98"/>
      <c r="O16" s="98"/>
      <c r="P16" s="98"/>
      <c r="Q16" s="98"/>
    </row>
    <row r="17" spans="3:17" ht="15" customHeight="1" x14ac:dyDescent="0.3">
      <c r="C17" s="39"/>
      <c r="D17" s="34" t="s">
        <v>128</v>
      </c>
      <c r="E17" s="34"/>
      <c r="F17" s="39"/>
      <c r="G17" s="34" t="s">
        <v>129</v>
      </c>
      <c r="I17" s="162" t="s">
        <v>230</v>
      </c>
      <c r="J17" s="162"/>
      <c r="K17" s="162"/>
      <c r="L17" s="162"/>
      <c r="M17" s="162"/>
      <c r="N17" s="162"/>
      <c r="O17" s="162"/>
      <c r="P17" s="162"/>
      <c r="Q17" s="162"/>
    </row>
    <row r="18" spans="3:17" ht="15" customHeight="1" x14ac:dyDescent="0.3">
      <c r="I18" s="162"/>
      <c r="J18" s="162"/>
      <c r="K18" s="162"/>
      <c r="L18" s="162"/>
      <c r="M18" s="162"/>
      <c r="N18" s="162"/>
      <c r="O18" s="162"/>
      <c r="P18" s="162"/>
      <c r="Q18" s="162"/>
    </row>
    <row r="19" spans="3:17" ht="10.050000000000001" customHeight="1" x14ac:dyDescent="0.3"/>
    <row r="20" spans="3:17" ht="15" customHeight="1" x14ac:dyDescent="0.3">
      <c r="C20" s="99"/>
      <c r="D20" s="99"/>
      <c r="E20" s="99"/>
      <c r="F20" s="99"/>
      <c r="I20" s="162" t="s">
        <v>70</v>
      </c>
      <c r="J20" s="162"/>
      <c r="K20" s="162"/>
      <c r="L20" s="162"/>
      <c r="M20" s="162"/>
      <c r="N20" s="162"/>
      <c r="O20" s="162"/>
      <c r="P20" s="162"/>
      <c r="Q20" s="162"/>
    </row>
    <row r="21" spans="3:17" ht="15" customHeight="1" x14ac:dyDescent="0.3">
      <c r="I21" s="162"/>
      <c r="J21" s="162"/>
      <c r="K21" s="162"/>
      <c r="L21" s="162"/>
      <c r="M21" s="162"/>
      <c r="N21" s="162"/>
      <c r="O21" s="162"/>
      <c r="P21" s="162"/>
      <c r="Q21" s="162"/>
    </row>
    <row r="22" spans="3:17" ht="15" customHeight="1" x14ac:dyDescent="0.3">
      <c r="I22" s="162"/>
      <c r="J22" s="162"/>
      <c r="K22" s="162"/>
      <c r="L22" s="162"/>
      <c r="M22" s="162"/>
      <c r="N22" s="162"/>
      <c r="O22" s="162"/>
      <c r="P22" s="162"/>
      <c r="Q22" s="162"/>
    </row>
    <row r="23" spans="3:17" ht="19.95" customHeight="1" x14ac:dyDescent="0.3">
      <c r="I23" s="162"/>
      <c r="J23" s="162"/>
      <c r="K23" s="162"/>
      <c r="L23" s="162"/>
      <c r="M23" s="162"/>
      <c r="N23" s="162"/>
      <c r="O23" s="162"/>
      <c r="P23" s="162"/>
      <c r="Q23" s="162"/>
    </row>
    <row r="24" spans="3:17" ht="10.050000000000001" customHeight="1" x14ac:dyDescent="0.3">
      <c r="I24" s="98"/>
      <c r="J24" s="98"/>
      <c r="K24" s="98"/>
      <c r="L24" s="98"/>
      <c r="M24" s="98"/>
      <c r="N24" s="98"/>
      <c r="O24" s="98"/>
      <c r="P24" s="98"/>
      <c r="Q24" s="98"/>
    </row>
    <row r="25" spans="3:17" ht="15" customHeight="1" x14ac:dyDescent="0.3">
      <c r="C25" s="100"/>
      <c r="D25" s="100"/>
      <c r="E25" s="100"/>
      <c r="F25" s="100"/>
      <c r="I25" s="162" t="s">
        <v>118</v>
      </c>
      <c r="J25" s="162"/>
      <c r="K25" s="162"/>
      <c r="L25" s="162"/>
      <c r="M25" s="162"/>
      <c r="N25" s="162"/>
      <c r="O25" s="162"/>
      <c r="P25" s="162"/>
      <c r="Q25" s="162"/>
    </row>
    <row r="26" spans="3:17" ht="15" customHeight="1" x14ac:dyDescent="0.3">
      <c r="I26" s="162"/>
      <c r="J26" s="162"/>
      <c r="K26" s="162"/>
      <c r="L26" s="162"/>
      <c r="M26" s="162"/>
      <c r="N26" s="162"/>
      <c r="O26" s="162"/>
      <c r="P26" s="162"/>
      <c r="Q26" s="162"/>
    </row>
    <row r="27" spans="3:17" ht="10.050000000000001" customHeight="1" x14ac:dyDescent="0.3"/>
    <row r="28" spans="3:17" ht="19.95" customHeight="1" x14ac:dyDescent="0.3">
      <c r="C28" s="101" t="s">
        <v>32</v>
      </c>
      <c r="D28" s="101"/>
      <c r="E28" s="101"/>
      <c r="F28" s="101"/>
      <c r="I28" s="93" t="s">
        <v>321</v>
      </c>
    </row>
    <row r="29" spans="3:17" ht="10.050000000000001" customHeight="1" x14ac:dyDescent="0.3"/>
    <row r="30" spans="3:17" ht="19.95" customHeight="1" x14ac:dyDescent="0.3">
      <c r="C30" s="5" t="s">
        <v>34</v>
      </c>
      <c r="D30" s="5"/>
      <c r="E30" s="5"/>
      <c r="F30" s="5"/>
      <c r="I30" s="93" t="s">
        <v>73</v>
      </c>
    </row>
    <row r="31" spans="3:17" ht="10.050000000000001" customHeight="1" x14ac:dyDescent="0.3"/>
    <row r="32" spans="3:17" ht="19.95" customHeight="1" x14ac:dyDescent="0.3">
      <c r="C32" s="5" t="s">
        <v>24</v>
      </c>
      <c r="D32" s="5"/>
      <c r="E32" s="5"/>
      <c r="F32" s="5"/>
      <c r="I32" s="93" t="s">
        <v>119</v>
      </c>
    </row>
    <row r="33" spans="2:17" ht="10.050000000000001" customHeight="1" x14ac:dyDescent="0.3"/>
    <row r="34" spans="2:17" ht="19.95" customHeight="1" x14ac:dyDescent="0.3">
      <c r="B34" s="92">
        <f>B6+1</f>
        <v>3</v>
      </c>
      <c r="C34" s="93" t="s">
        <v>233</v>
      </c>
    </row>
    <row r="35" spans="2:17" ht="19.95" customHeight="1" x14ac:dyDescent="0.3">
      <c r="B35" s="92">
        <f>B34+1</f>
        <v>4</v>
      </c>
      <c r="C35" s="162" t="s">
        <v>234</v>
      </c>
      <c r="D35" s="162"/>
      <c r="E35" s="162"/>
      <c r="F35" s="162"/>
      <c r="G35" s="162"/>
      <c r="H35" s="162"/>
      <c r="I35" s="162"/>
      <c r="J35" s="162"/>
      <c r="K35" s="162"/>
      <c r="L35" s="162"/>
      <c r="M35" s="162"/>
      <c r="N35" s="162"/>
      <c r="O35" s="162"/>
      <c r="P35" s="162"/>
      <c r="Q35" s="162"/>
    </row>
    <row r="36" spans="2:17" ht="15" customHeight="1" x14ac:dyDescent="0.3">
      <c r="C36" s="162"/>
      <c r="D36" s="162"/>
      <c r="E36" s="162"/>
      <c r="F36" s="162"/>
      <c r="G36" s="162"/>
      <c r="H36" s="162"/>
      <c r="I36" s="162"/>
      <c r="J36" s="162"/>
      <c r="K36" s="162"/>
      <c r="L36" s="162"/>
      <c r="M36" s="162"/>
      <c r="N36" s="162"/>
      <c r="O36" s="162"/>
      <c r="P36" s="162"/>
      <c r="Q36" s="162"/>
    </row>
    <row r="37" spans="2:17" ht="19.95" customHeight="1" x14ac:dyDescent="0.3">
      <c r="B37" s="92">
        <v>5</v>
      </c>
      <c r="C37" s="163" t="s">
        <v>231</v>
      </c>
      <c r="D37" s="163"/>
      <c r="E37" s="163"/>
      <c r="F37" s="163"/>
      <c r="G37" s="163"/>
      <c r="H37" s="163"/>
      <c r="I37" s="163"/>
      <c r="J37" s="163"/>
      <c r="K37" s="163"/>
      <c r="L37" s="163"/>
      <c r="M37" s="163"/>
      <c r="N37" s="163"/>
      <c r="O37" s="163"/>
      <c r="P37" s="163"/>
      <c r="Q37" s="163"/>
    </row>
    <row r="38" spans="2:17" ht="19.95" customHeight="1" x14ac:dyDescent="0.3">
      <c r="C38" s="163"/>
      <c r="D38" s="163"/>
      <c r="E38" s="163"/>
      <c r="F38" s="163"/>
      <c r="G38" s="163"/>
      <c r="H38" s="163"/>
      <c r="I38" s="163"/>
      <c r="J38" s="163"/>
      <c r="K38" s="163"/>
      <c r="L38" s="163"/>
      <c r="M38" s="163"/>
      <c r="N38" s="163"/>
      <c r="O38" s="163"/>
      <c r="P38" s="163"/>
      <c r="Q38" s="163"/>
    </row>
    <row r="39" spans="2:17" ht="12" customHeight="1" x14ac:dyDescent="0.3">
      <c r="C39" s="163"/>
      <c r="D39" s="163"/>
      <c r="E39" s="163"/>
      <c r="F39" s="163"/>
      <c r="G39" s="163"/>
      <c r="H39" s="163"/>
      <c r="I39" s="163"/>
      <c r="J39" s="163"/>
      <c r="K39" s="163"/>
      <c r="L39" s="163"/>
      <c r="M39" s="163"/>
      <c r="N39" s="163"/>
      <c r="O39" s="163"/>
      <c r="P39" s="163"/>
      <c r="Q39" s="163"/>
    </row>
    <row r="40" spans="2:17" ht="19.95" customHeight="1" x14ac:dyDescent="0.3">
      <c r="B40" s="92">
        <v>6</v>
      </c>
      <c r="C40" s="93" t="s">
        <v>279</v>
      </c>
    </row>
    <row r="41" spans="2:17" ht="19.95" customHeight="1" x14ac:dyDescent="0.3"/>
    <row r="42" spans="2:17" ht="19.95" customHeight="1" x14ac:dyDescent="0.3"/>
    <row r="43" spans="2:17" ht="19.95" customHeight="1" x14ac:dyDescent="0.3"/>
    <row r="44" spans="2:17" ht="19.95" customHeight="1" x14ac:dyDescent="0.3"/>
    <row r="45" spans="2:17" ht="19.95" customHeight="1" x14ac:dyDescent="0.3"/>
    <row r="46" spans="2:17" ht="19.95" customHeight="1" x14ac:dyDescent="0.3"/>
    <row r="47" spans="2:17" ht="19.95" customHeight="1" x14ac:dyDescent="0.3"/>
    <row r="48" spans="2:17"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sheetData>
  <sheetProtection algorithmName="SHA-512" hashValue="F96nrbwbCZz1G/fzmoCw69w7LkLWn6kDrk+tFBs69CcVfXVDRWtKVWSqlFqhmcOf6oxSu/dVIYLr+2H+5TDa3Q==" saltValue="6R8u4sXcN3XMc/cGEV2FHw==" spinCount="100000" sheet="1" objects="1" scenarios="1" selectLockedCells="1"/>
  <mergeCells count="8">
    <mergeCell ref="C35:Q36"/>
    <mergeCell ref="C37:Q39"/>
    <mergeCell ref="C4:Q5"/>
    <mergeCell ref="I9:Q10"/>
    <mergeCell ref="I12:Q15"/>
    <mergeCell ref="I17:Q18"/>
    <mergeCell ref="I20:Q23"/>
    <mergeCell ref="I25:Q26"/>
  </mergeCells>
  <conditionalFormatting sqref="C17">
    <cfRule type="expression" dxfId="332" priority="2">
      <formula>ISBLANK(C17)</formula>
    </cfRule>
  </conditionalFormatting>
  <conditionalFormatting sqref="C9:F9">
    <cfRule type="expression" dxfId="331" priority="4">
      <formula>ISBLANK(C9)</formula>
    </cfRule>
  </conditionalFormatting>
  <conditionalFormatting sqref="F12">
    <cfRule type="expression" dxfId="330" priority="3">
      <formula>ISBLANK(F12)</formula>
    </cfRule>
  </conditionalFormatting>
  <conditionalFormatting sqref="F17">
    <cfRule type="expression" dxfId="329" priority="1">
      <formula>ISBLANK(F17)</formula>
    </cfRule>
  </conditionalFormatting>
  <pageMargins left="0.2" right="0.2" top="0.5" bottom="0.25" header="0.3" footer="0.3"/>
  <pageSetup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BCFA-678D-4F47-972D-31E458267710}">
  <sheetPr codeName="Sheet5">
    <tabColor theme="9" tint="0.39997558519241921"/>
  </sheetPr>
  <dimension ref="A1:CL210"/>
  <sheetViews>
    <sheetView showGridLines="0" showRowColHeaders="0" showZeros="0" zoomScale="150" zoomScaleNormal="150" workbookViewId="0">
      <selection activeCell="E13" sqref="E13:X13"/>
    </sheetView>
  </sheetViews>
  <sheetFormatPr defaultColWidth="0" defaultRowHeight="0" customHeight="1" zeroHeight="1" x14ac:dyDescent="0.3"/>
  <cols>
    <col min="1" max="1" width="1.77734375" style="34" customWidth="1"/>
    <col min="2" max="36" width="2.77734375" style="34" customWidth="1"/>
    <col min="37" max="37" width="1.77734375" style="34" customWidth="1"/>
    <col min="38" max="38" width="10.33203125" style="16" hidden="1" customWidth="1"/>
    <col min="39" max="39" width="11" style="16" hidden="1" customWidth="1"/>
    <col min="40" max="42" width="9.21875" style="16" hidden="1" customWidth="1"/>
    <col min="43" max="43" width="8.77734375" style="16" hidden="1" customWidth="1"/>
    <col min="44" max="44" width="2.77734375" style="34" customWidth="1"/>
    <col min="45" max="45" width="3.77734375" style="34" customWidth="1"/>
    <col min="46" max="79" width="2.77734375" style="34" customWidth="1"/>
    <col min="80" max="90" width="0" style="34" hidden="1" customWidth="1"/>
    <col min="91" max="16384" width="8.88671875" style="34" hidden="1"/>
  </cols>
  <sheetData>
    <row r="1" spans="1:90" ht="15" customHeight="1" x14ac:dyDescent="0.3">
      <c r="O1" s="3"/>
      <c r="P1" s="3"/>
      <c r="Q1" s="3"/>
      <c r="S1" s="20"/>
      <c r="T1" s="20"/>
      <c r="U1" s="20"/>
      <c r="V1" s="20"/>
      <c r="W1" s="172" t="s">
        <v>381</v>
      </c>
      <c r="X1" s="172"/>
      <c r="Y1" s="172"/>
      <c r="Z1" s="172"/>
      <c r="AA1" s="172"/>
      <c r="AB1" s="172"/>
      <c r="AC1" s="172"/>
      <c r="AD1" s="172"/>
      <c r="AE1" s="172"/>
      <c r="AF1" s="172"/>
      <c r="AG1" s="172"/>
      <c r="AH1" s="172"/>
      <c r="AI1" s="172"/>
      <c r="AJ1" s="172"/>
      <c r="AK1" s="172"/>
      <c r="AL1" s="78"/>
      <c r="AM1" s="78"/>
      <c r="AN1" s="78"/>
      <c r="AO1" s="78"/>
      <c r="AP1" s="78"/>
      <c r="AQ1" s="78"/>
      <c r="BD1" s="79"/>
      <c r="BE1" s="79"/>
      <c r="BG1" s="20"/>
      <c r="BH1" s="20"/>
      <c r="BI1" s="20"/>
      <c r="BJ1" s="20"/>
      <c r="BK1" s="172" t="str">
        <f>W1</f>
        <v>Form 2B.1 - Retention Pond
Design Form</v>
      </c>
      <c r="BL1" s="172"/>
      <c r="BM1" s="172"/>
      <c r="BN1" s="172"/>
      <c r="BO1" s="172"/>
      <c r="BP1" s="172"/>
      <c r="BQ1" s="172"/>
      <c r="BR1" s="172"/>
      <c r="BS1" s="172"/>
      <c r="BT1" s="172"/>
      <c r="BU1" s="172"/>
      <c r="BV1" s="172"/>
      <c r="BW1" s="172"/>
      <c r="BX1" s="172"/>
      <c r="BY1" s="172"/>
      <c r="BZ1" s="172"/>
      <c r="CG1" s="79"/>
      <c r="CH1" s="79"/>
      <c r="CI1" s="79"/>
      <c r="CJ1" s="79"/>
      <c r="CK1" s="79"/>
      <c r="CL1" s="79"/>
    </row>
    <row r="2" spans="1:90" ht="15" customHeight="1" x14ac:dyDescent="0.3">
      <c r="J2" s="3"/>
      <c r="K2" s="3"/>
      <c r="L2" s="3"/>
      <c r="M2" s="3"/>
      <c r="N2" s="3"/>
      <c r="O2" s="3"/>
      <c r="P2" s="3"/>
      <c r="Q2" s="3"/>
      <c r="R2" s="20"/>
      <c r="S2" s="20"/>
      <c r="T2" s="20"/>
      <c r="U2" s="20"/>
      <c r="V2" s="20"/>
      <c r="W2" s="172"/>
      <c r="X2" s="172"/>
      <c r="Y2" s="172"/>
      <c r="Z2" s="172"/>
      <c r="AA2" s="172"/>
      <c r="AB2" s="172"/>
      <c r="AC2" s="172"/>
      <c r="AD2" s="172"/>
      <c r="AE2" s="172"/>
      <c r="AF2" s="172"/>
      <c r="AG2" s="172"/>
      <c r="AH2" s="172"/>
      <c r="AI2" s="172"/>
      <c r="AJ2" s="172"/>
      <c r="AK2" s="172"/>
      <c r="AL2" s="78"/>
      <c r="AM2" s="78"/>
      <c r="AN2" s="78"/>
      <c r="AO2" s="78"/>
      <c r="AP2" s="78"/>
      <c r="AQ2" s="78"/>
      <c r="BC2" s="79"/>
      <c r="BD2" s="79"/>
      <c r="BE2" s="79"/>
      <c r="BF2" s="20"/>
      <c r="BG2" s="20"/>
      <c r="BH2" s="20"/>
      <c r="BI2" s="20"/>
      <c r="BJ2" s="20"/>
      <c r="BK2" s="172"/>
      <c r="BL2" s="172"/>
      <c r="BM2" s="172"/>
      <c r="BN2" s="172"/>
      <c r="BO2" s="172"/>
      <c r="BP2" s="172"/>
      <c r="BQ2" s="172"/>
      <c r="BR2" s="172"/>
      <c r="BS2" s="172"/>
      <c r="BT2" s="172"/>
      <c r="BU2" s="172"/>
      <c r="BV2" s="172"/>
      <c r="BW2" s="172"/>
      <c r="BX2" s="172"/>
      <c r="BY2" s="172"/>
      <c r="BZ2" s="172"/>
      <c r="CG2" s="79"/>
      <c r="CH2" s="79"/>
      <c r="CI2" s="79"/>
      <c r="CJ2" s="79"/>
      <c r="CK2" s="79"/>
      <c r="CL2" s="79"/>
    </row>
    <row r="3" spans="1:90" ht="15" customHeight="1" x14ac:dyDescent="0.3">
      <c r="J3" s="3"/>
      <c r="K3" s="3"/>
      <c r="L3" s="3"/>
      <c r="M3" s="3"/>
      <c r="N3" s="3"/>
      <c r="O3" s="3"/>
      <c r="P3" s="3"/>
      <c r="Q3" s="3"/>
      <c r="R3" s="20"/>
      <c r="S3" s="20"/>
      <c r="T3" s="20"/>
      <c r="U3" s="20"/>
      <c r="V3" s="20"/>
      <c r="W3" s="172"/>
      <c r="X3" s="172"/>
      <c r="Y3" s="172"/>
      <c r="Z3" s="172"/>
      <c r="AA3" s="172"/>
      <c r="AB3" s="172"/>
      <c r="AC3" s="172"/>
      <c r="AD3" s="172"/>
      <c r="AE3" s="172"/>
      <c r="AF3" s="172"/>
      <c r="AG3" s="172"/>
      <c r="AH3" s="172"/>
      <c r="AI3" s="172"/>
      <c r="AJ3" s="172"/>
      <c r="AK3" s="172"/>
      <c r="AL3" s="78"/>
      <c r="AM3" s="78"/>
      <c r="AN3" s="78"/>
      <c r="AO3" s="78"/>
      <c r="AP3" s="78"/>
      <c r="AQ3" s="78"/>
      <c r="BC3" s="79"/>
      <c r="BD3" s="79"/>
      <c r="BE3" s="79"/>
      <c r="BF3" s="20"/>
      <c r="BG3" s="20"/>
      <c r="BH3" s="20"/>
      <c r="BI3" s="20"/>
      <c r="BJ3" s="20"/>
      <c r="BK3" s="172"/>
      <c r="BL3" s="172"/>
      <c r="BM3" s="172"/>
      <c r="BN3" s="172"/>
      <c r="BO3" s="172"/>
      <c r="BP3" s="172"/>
      <c r="BQ3" s="172"/>
      <c r="BR3" s="172"/>
      <c r="BS3" s="172"/>
      <c r="BT3" s="172"/>
      <c r="BU3" s="172"/>
      <c r="BV3" s="172"/>
      <c r="BW3" s="172"/>
      <c r="BX3" s="172"/>
      <c r="BY3" s="172"/>
      <c r="BZ3" s="172"/>
      <c r="CG3" s="79"/>
      <c r="CH3" s="79"/>
      <c r="CI3" s="79"/>
      <c r="CJ3" s="79"/>
      <c r="CK3" s="79"/>
      <c r="CL3" s="79"/>
    </row>
    <row r="4" spans="1:90" ht="15" customHeight="1" x14ac:dyDescent="0.3">
      <c r="J4" s="3"/>
      <c r="K4" s="3"/>
      <c r="L4" s="3"/>
      <c r="M4" s="3"/>
      <c r="N4" s="3"/>
      <c r="O4" s="3"/>
      <c r="P4" s="3"/>
      <c r="Q4" s="3"/>
      <c r="R4" s="20"/>
      <c r="S4" s="20"/>
      <c r="T4" s="20"/>
      <c r="U4" s="20"/>
      <c r="V4" s="20"/>
      <c r="W4" s="172"/>
      <c r="X4" s="172"/>
      <c r="Y4" s="172"/>
      <c r="Z4" s="172"/>
      <c r="AA4" s="172"/>
      <c r="AB4" s="172"/>
      <c r="AC4" s="172"/>
      <c r="AD4" s="172"/>
      <c r="AE4" s="172"/>
      <c r="AF4" s="172"/>
      <c r="AG4" s="172"/>
      <c r="AH4" s="172"/>
      <c r="AI4" s="172"/>
      <c r="AJ4" s="172"/>
      <c r="AK4" s="172"/>
      <c r="AL4" s="78"/>
      <c r="AM4" s="78"/>
      <c r="AN4" s="78"/>
      <c r="AO4" s="78"/>
      <c r="AP4" s="78"/>
      <c r="AQ4" s="78"/>
      <c r="BC4" s="79"/>
      <c r="BD4" s="79"/>
      <c r="BE4" s="79"/>
      <c r="BF4" s="20"/>
      <c r="BG4" s="20"/>
      <c r="BH4" s="20"/>
      <c r="BI4" s="20"/>
      <c r="BJ4" s="20"/>
      <c r="BK4" s="172"/>
      <c r="BL4" s="172"/>
      <c r="BM4" s="172"/>
      <c r="BN4" s="172"/>
      <c r="BO4" s="172"/>
      <c r="BP4" s="172"/>
      <c r="BQ4" s="172"/>
      <c r="BR4" s="172"/>
      <c r="BS4" s="172"/>
      <c r="BT4" s="172"/>
      <c r="BU4" s="172"/>
      <c r="BV4" s="172"/>
      <c r="BW4" s="172"/>
      <c r="BX4" s="172"/>
      <c r="BY4" s="172"/>
      <c r="BZ4" s="172"/>
      <c r="CG4" s="79"/>
      <c r="CH4" s="79"/>
      <c r="CI4" s="79"/>
      <c r="CJ4" s="79"/>
      <c r="CK4" s="79"/>
      <c r="CL4" s="79"/>
    </row>
    <row r="5" spans="1:90" ht="4.95" customHeight="1" x14ac:dyDescent="0.3">
      <c r="J5" s="3"/>
      <c r="K5" s="3"/>
      <c r="L5" s="3"/>
      <c r="M5" s="3"/>
      <c r="N5" s="3"/>
      <c r="O5" s="3"/>
      <c r="P5" s="3"/>
      <c r="Q5" s="3"/>
      <c r="R5" s="21"/>
      <c r="S5" s="21"/>
      <c r="T5" s="21"/>
      <c r="U5" s="21"/>
      <c r="V5" s="21"/>
      <c r="W5" s="21"/>
      <c r="X5" s="21"/>
      <c r="Y5" s="21"/>
      <c r="Z5" s="21"/>
      <c r="AA5" s="21"/>
      <c r="AB5" s="21"/>
      <c r="AC5" s="21"/>
      <c r="AD5" s="21"/>
      <c r="AE5" s="21"/>
      <c r="AF5" s="21"/>
      <c r="AG5" s="21"/>
      <c r="AH5" s="21"/>
      <c r="AI5" s="21"/>
      <c r="AJ5" s="21"/>
      <c r="AL5" s="78"/>
      <c r="AM5" s="78"/>
      <c r="AN5" s="78"/>
      <c r="AO5" s="78"/>
      <c r="AP5" s="78"/>
      <c r="AQ5" s="78"/>
    </row>
    <row r="6" spans="1:90" ht="15" customHeight="1" x14ac:dyDescent="0.3">
      <c r="A6" s="22"/>
      <c r="B6" s="23" t="s">
        <v>121</v>
      </c>
      <c r="C6" s="23"/>
      <c r="D6" s="23"/>
      <c r="E6" s="23"/>
      <c r="F6" s="23"/>
      <c r="G6" s="23"/>
      <c r="H6" s="23"/>
      <c r="I6" s="23"/>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5"/>
      <c r="AL6" s="78"/>
      <c r="AM6" s="78"/>
      <c r="AN6" s="78"/>
      <c r="AO6" s="78"/>
      <c r="AP6" s="78"/>
      <c r="AQ6" s="78"/>
      <c r="AS6" s="171" t="s">
        <v>72</v>
      </c>
      <c r="AT6" s="171"/>
      <c r="AU6" s="171"/>
      <c r="AV6" s="171"/>
      <c r="AW6" s="171"/>
      <c r="AX6" s="171"/>
      <c r="AY6" s="171"/>
      <c r="AZ6" s="171"/>
      <c r="BA6" s="171"/>
      <c r="BB6" s="171"/>
      <c r="BC6" s="171"/>
      <c r="BD6" s="171"/>
      <c r="BE6" s="171"/>
      <c r="BF6" s="171"/>
      <c r="BG6" s="171"/>
      <c r="BH6" s="73"/>
      <c r="BI6" s="73"/>
      <c r="BJ6" s="73"/>
      <c r="BK6" s="73"/>
      <c r="BL6" s="73"/>
      <c r="BM6" s="73"/>
      <c r="BN6" s="73"/>
      <c r="BO6" s="73"/>
      <c r="BP6" s="73"/>
      <c r="BQ6" s="73"/>
      <c r="BR6" s="73"/>
      <c r="BS6" s="73"/>
      <c r="BT6" s="73"/>
      <c r="BU6" s="73"/>
      <c r="BV6" s="73"/>
      <c r="BW6" s="73"/>
      <c r="BX6" s="73"/>
      <c r="BY6" s="73"/>
      <c r="BZ6" s="73"/>
      <c r="CA6" s="73"/>
    </row>
    <row r="7" spans="1:90" ht="15" customHeight="1" x14ac:dyDescent="0.3">
      <c r="A7" s="26"/>
      <c r="B7" s="13" t="s">
        <v>62</v>
      </c>
      <c r="C7" s="13"/>
      <c r="D7" s="13"/>
      <c r="E7" s="62"/>
      <c r="F7" s="62"/>
      <c r="G7" s="62"/>
      <c r="H7" s="62"/>
      <c r="I7" s="62"/>
      <c r="J7" s="62"/>
      <c r="K7" s="62"/>
      <c r="L7" s="62"/>
      <c r="M7" s="62"/>
      <c r="N7" s="62"/>
      <c r="O7" s="62"/>
      <c r="P7" s="62"/>
      <c r="Q7" s="62"/>
      <c r="R7" s="62"/>
      <c r="S7" s="62"/>
      <c r="T7" s="62"/>
      <c r="U7" s="62"/>
      <c r="V7" s="62"/>
      <c r="W7" s="62"/>
      <c r="X7" s="62"/>
      <c r="Y7" s="62"/>
      <c r="Z7" s="62"/>
      <c r="AA7" s="62"/>
      <c r="AB7" s="62"/>
      <c r="AC7" s="13"/>
      <c r="AD7" s="13"/>
      <c r="AE7" s="27" t="s">
        <v>21</v>
      </c>
      <c r="AF7" s="62"/>
      <c r="AG7" s="62"/>
      <c r="AH7" s="62"/>
      <c r="AI7" s="62"/>
      <c r="AJ7" s="62"/>
      <c r="AK7" s="28"/>
      <c r="AL7" s="78"/>
      <c r="AM7" s="78"/>
      <c r="AN7" s="78"/>
      <c r="AO7" s="78"/>
      <c r="AP7" s="78"/>
      <c r="AQ7" s="78"/>
      <c r="AS7" s="171"/>
      <c r="AT7" s="171"/>
      <c r="AU7" s="171"/>
      <c r="AV7" s="171"/>
      <c r="AW7" s="171"/>
      <c r="AX7" s="171"/>
      <c r="AY7" s="171"/>
      <c r="AZ7" s="171"/>
      <c r="BA7" s="171"/>
      <c r="BB7" s="171"/>
      <c r="BC7" s="171"/>
      <c r="BD7" s="171"/>
      <c r="BE7" s="171"/>
      <c r="BF7" s="171"/>
      <c r="BG7" s="171"/>
      <c r="BH7" s="73"/>
      <c r="BI7" s="73"/>
      <c r="BJ7" s="73"/>
      <c r="BK7" s="73"/>
      <c r="BL7" s="73"/>
      <c r="BM7" s="73"/>
      <c r="BN7" s="73"/>
      <c r="BO7" s="73"/>
      <c r="BP7" s="73"/>
      <c r="BQ7" s="73"/>
      <c r="BR7" s="73"/>
      <c r="BS7" s="73"/>
      <c r="BT7" s="73"/>
      <c r="BU7" s="73"/>
      <c r="BV7" s="73"/>
      <c r="BW7" s="73"/>
      <c r="BX7" s="73"/>
      <c r="BY7" s="73"/>
      <c r="BZ7" s="73"/>
      <c r="CA7" s="73"/>
    </row>
    <row r="8" spans="1:90" ht="4.95" customHeight="1" x14ac:dyDescent="0.3">
      <c r="A8" s="26"/>
      <c r="B8" s="13"/>
      <c r="C8" s="13"/>
      <c r="D8" s="13"/>
      <c r="E8" s="13"/>
      <c r="F8" s="13"/>
      <c r="G8" s="13"/>
      <c r="H8" s="13"/>
      <c r="I8" s="13"/>
      <c r="J8" s="13"/>
      <c r="K8" s="13"/>
      <c r="L8" s="13"/>
      <c r="M8" s="13"/>
      <c r="N8" s="13"/>
      <c r="O8" s="13"/>
      <c r="P8" s="13"/>
      <c r="Q8" s="13"/>
      <c r="R8" s="13"/>
      <c r="S8" s="13"/>
      <c r="T8" s="13"/>
      <c r="U8" s="13"/>
      <c r="V8" s="13"/>
      <c r="W8" s="13"/>
      <c r="X8" s="13"/>
      <c r="Y8" s="13"/>
      <c r="Z8" s="27"/>
      <c r="AA8" s="15"/>
      <c r="AB8" s="15"/>
      <c r="AC8" s="15"/>
      <c r="AD8" s="15"/>
      <c r="AE8" s="13"/>
      <c r="AF8" s="13"/>
      <c r="AG8" s="13"/>
      <c r="AH8" s="15"/>
      <c r="AI8" s="15"/>
      <c r="AJ8" s="15"/>
      <c r="AK8" s="28"/>
      <c r="AL8" s="78"/>
      <c r="AM8" s="78"/>
      <c r="AN8" s="78"/>
      <c r="AO8" s="78"/>
      <c r="AP8" s="78"/>
      <c r="AQ8" s="78"/>
    </row>
    <row r="9" spans="1:90" ht="15" customHeight="1" x14ac:dyDescent="0.3">
      <c r="A9" s="26"/>
      <c r="B9" s="13" t="s">
        <v>22</v>
      </c>
      <c r="C9" s="13"/>
      <c r="D9" s="13"/>
      <c r="E9" s="13"/>
      <c r="F9" s="13"/>
      <c r="G9" s="80"/>
      <c r="H9" s="13" t="s">
        <v>130</v>
      </c>
      <c r="I9" s="13"/>
      <c r="J9" s="13"/>
      <c r="K9" s="13"/>
      <c r="L9" s="13"/>
      <c r="M9" s="13"/>
      <c r="N9" s="80"/>
      <c r="O9" s="13" t="s">
        <v>131</v>
      </c>
      <c r="P9" s="13"/>
      <c r="Q9" s="13"/>
      <c r="R9" s="13"/>
      <c r="S9" s="13"/>
      <c r="T9" s="13"/>
      <c r="U9" s="13"/>
      <c r="V9" s="13"/>
      <c r="W9" s="13"/>
      <c r="X9" s="80"/>
      <c r="Y9" s="13" t="s">
        <v>132</v>
      </c>
      <c r="Z9" s="13"/>
      <c r="AA9" s="13"/>
      <c r="AB9" s="13"/>
      <c r="AC9" s="13"/>
      <c r="AD9" s="80"/>
      <c r="AE9" s="13" t="s">
        <v>133</v>
      </c>
      <c r="AF9" s="81"/>
      <c r="AG9" s="13"/>
      <c r="AH9" s="13"/>
      <c r="AI9" s="13"/>
      <c r="AJ9" s="13"/>
      <c r="AK9" s="28"/>
      <c r="AL9" s="78"/>
      <c r="AM9" s="78"/>
      <c r="AN9" s="78"/>
      <c r="AO9" s="78"/>
      <c r="AP9" s="78"/>
      <c r="AQ9" s="78"/>
      <c r="AS9" s="89" t="s">
        <v>122</v>
      </c>
      <c r="AT9" s="89"/>
      <c r="AU9" s="89"/>
      <c r="AV9"/>
      <c r="AW9"/>
      <c r="AX9"/>
      <c r="AY9"/>
      <c r="AZ9"/>
      <c r="BA9"/>
      <c r="BB9"/>
      <c r="BC9"/>
      <c r="BD9"/>
      <c r="BE9"/>
      <c r="BF9"/>
      <c r="BG9"/>
      <c r="BH9"/>
      <c r="BI9"/>
      <c r="BJ9"/>
      <c r="BK9"/>
      <c r="BL9"/>
      <c r="BM9"/>
      <c r="BN9"/>
      <c r="BO9"/>
      <c r="BP9"/>
      <c r="BQ9"/>
      <c r="BR9"/>
      <c r="BS9"/>
      <c r="BT9"/>
      <c r="BU9"/>
      <c r="BV9"/>
      <c r="BW9"/>
      <c r="BX9"/>
      <c r="BY9"/>
      <c r="BZ9"/>
      <c r="CA9"/>
    </row>
    <row r="10" spans="1:90" ht="15" customHeight="1" x14ac:dyDescent="0.3">
      <c r="A10" s="26"/>
      <c r="B10" s="15" t="s">
        <v>219</v>
      </c>
      <c r="C10" s="13"/>
      <c r="D10" s="77"/>
      <c r="E10" s="27"/>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28"/>
      <c r="AL10" s="78"/>
      <c r="AM10" s="78"/>
      <c r="AN10" s="78"/>
      <c r="AO10" s="78"/>
      <c r="AP10" s="78"/>
      <c r="AQ10" s="78"/>
      <c r="AS10" s="19">
        <v>1</v>
      </c>
      <c r="AT10" s="34" t="s">
        <v>342</v>
      </c>
      <c r="AU10" s="89"/>
      <c r="AV10"/>
      <c r="AW10"/>
      <c r="AX10"/>
      <c r="AY10"/>
      <c r="AZ10"/>
      <c r="BA10"/>
      <c r="BB10"/>
      <c r="BC10"/>
      <c r="BD10"/>
      <c r="BE10"/>
      <c r="BF10"/>
      <c r="BG10"/>
      <c r="BH10"/>
      <c r="BI10"/>
      <c r="BJ10"/>
      <c r="BK10"/>
      <c r="BL10"/>
      <c r="BM10"/>
      <c r="BN10"/>
      <c r="BO10"/>
      <c r="BP10"/>
      <c r="BQ10"/>
      <c r="BR10"/>
      <c r="BS10"/>
      <c r="BT10"/>
      <c r="BU10"/>
      <c r="BV10"/>
      <c r="BW10"/>
      <c r="BX10"/>
      <c r="BY10"/>
      <c r="BZ10"/>
      <c r="CA10"/>
    </row>
    <row r="11" spans="1:90" ht="4.95" customHeight="1" x14ac:dyDescent="0.3">
      <c r="AL11" s="78"/>
      <c r="AM11" s="78"/>
      <c r="AN11" s="78"/>
      <c r="AO11" s="78"/>
      <c r="AP11" s="78"/>
      <c r="AQ11" s="78"/>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row>
    <row r="12" spans="1:90" ht="15" customHeight="1" x14ac:dyDescent="0.3">
      <c r="B12" s="1" t="s">
        <v>0</v>
      </c>
      <c r="C12" s="1"/>
      <c r="D12" s="1"/>
      <c r="E12" s="1"/>
      <c r="F12" s="1"/>
      <c r="G12" s="1"/>
      <c r="H12" s="1"/>
      <c r="I12" s="1"/>
      <c r="AD12" s="2"/>
      <c r="AS12" s="19"/>
      <c r="AT12" s="34" t="s">
        <v>341</v>
      </c>
      <c r="AU12" s="89"/>
      <c r="AV12"/>
      <c r="AW12"/>
      <c r="AX12"/>
      <c r="AY12"/>
      <c r="AZ12"/>
      <c r="BA12"/>
      <c r="BB12"/>
      <c r="BC12"/>
      <c r="BD12"/>
      <c r="BE12"/>
      <c r="BF12"/>
      <c r="BG12"/>
      <c r="BH12"/>
      <c r="BI12"/>
      <c r="BJ12"/>
      <c r="BK12"/>
      <c r="BL12"/>
      <c r="BM12"/>
      <c r="BN12"/>
      <c r="BO12"/>
      <c r="BP12"/>
      <c r="BQ12"/>
      <c r="BR12"/>
      <c r="BS12"/>
      <c r="BT12"/>
      <c r="BU12"/>
      <c r="BV12"/>
      <c r="BW12"/>
      <c r="BX12"/>
      <c r="BY12"/>
      <c r="BZ12"/>
      <c r="CA12"/>
    </row>
    <row r="13" spans="1:90" ht="14.55" customHeight="1" x14ac:dyDescent="0.3">
      <c r="D13" s="2" t="s">
        <v>144</v>
      </c>
      <c r="E13" s="181"/>
      <c r="F13" s="181"/>
      <c r="G13" s="181"/>
      <c r="H13" s="181"/>
      <c r="I13" s="181"/>
      <c r="J13" s="181"/>
      <c r="K13" s="181"/>
      <c r="L13" s="181"/>
      <c r="M13" s="181"/>
      <c r="N13" s="181"/>
      <c r="O13" s="181"/>
      <c r="P13" s="181"/>
      <c r="Q13" s="181"/>
      <c r="R13" s="181"/>
      <c r="S13" s="181"/>
      <c r="T13" s="181"/>
      <c r="U13" s="181"/>
      <c r="V13" s="181"/>
      <c r="W13" s="181"/>
      <c r="X13" s="181"/>
      <c r="AD13" s="2" t="s">
        <v>208</v>
      </c>
      <c r="AE13" s="178"/>
      <c r="AF13" s="178"/>
      <c r="AG13" s="178"/>
      <c r="AH13" s="178"/>
      <c r="AI13" s="178"/>
      <c r="AJ13" s="178"/>
      <c r="AS13" s="19">
        <f>AS10+1</f>
        <v>2</v>
      </c>
      <c r="AT13" s="14" t="s">
        <v>343</v>
      </c>
      <c r="AU13" s="14"/>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row>
    <row r="14" spans="1:90" ht="14.55" customHeight="1" x14ac:dyDescent="0.3">
      <c r="D14" s="2" t="s">
        <v>145</v>
      </c>
      <c r="E14" s="182"/>
      <c r="F14" s="182"/>
      <c r="G14" s="182"/>
      <c r="H14" s="182"/>
      <c r="I14" s="182"/>
      <c r="J14" s="182"/>
      <c r="K14" s="182"/>
      <c r="L14" s="182"/>
      <c r="M14" s="182"/>
      <c r="N14" s="182"/>
      <c r="O14" s="182"/>
      <c r="P14" s="182"/>
      <c r="Q14" s="182"/>
      <c r="R14" s="182"/>
      <c r="S14" s="182"/>
      <c r="T14" s="182"/>
      <c r="U14" s="182"/>
      <c r="V14" s="182"/>
      <c r="W14" s="182"/>
      <c r="X14" s="182"/>
      <c r="AD14" s="2" t="s">
        <v>209</v>
      </c>
      <c r="AE14" s="179"/>
      <c r="AF14" s="179"/>
      <c r="AG14" s="179"/>
      <c r="AH14" s="179"/>
      <c r="AI14" s="179"/>
      <c r="AJ14" s="179"/>
      <c r="AS14" s="19">
        <f>AS13+1</f>
        <v>3</v>
      </c>
      <c r="AT14" s="34" t="s">
        <v>344</v>
      </c>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row>
    <row r="15" spans="1:90" ht="4.95"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83"/>
      <c r="AM15" s="83"/>
      <c r="AN15" s="83"/>
      <c r="AO15" s="83"/>
      <c r="AP15" s="83"/>
      <c r="AQ15" s="83"/>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row>
    <row r="16" spans="1:90" ht="14.55" customHeight="1" x14ac:dyDescent="0.3">
      <c r="E16" s="2" t="s">
        <v>223</v>
      </c>
      <c r="F16" s="17"/>
      <c r="G16" s="34" t="s">
        <v>138</v>
      </c>
      <c r="N16" s="17"/>
      <c r="O16" s="34" t="s">
        <v>139</v>
      </c>
      <c r="V16" s="17"/>
      <c r="W16" s="34" t="s">
        <v>140</v>
      </c>
      <c r="AT16" s="34" t="s">
        <v>345</v>
      </c>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row>
    <row r="17" spans="2:79" ht="4.95" customHeight="1" x14ac:dyDescent="0.3">
      <c r="C17" s="2"/>
      <c r="D17" s="2"/>
      <c r="E17" s="2"/>
      <c r="F17" s="2"/>
      <c r="G17" s="2"/>
      <c r="H17" s="2"/>
      <c r="I17" s="2"/>
      <c r="AS17" s="19"/>
    </row>
    <row r="18" spans="2:79" ht="14.55" customHeight="1" x14ac:dyDescent="0.3">
      <c r="D18" s="2"/>
      <c r="E18" s="2"/>
      <c r="F18" s="2"/>
      <c r="H18" s="2" t="s">
        <v>51</v>
      </c>
      <c r="I18" s="2"/>
      <c r="J18" s="165"/>
      <c r="K18" s="165"/>
      <c r="L18" s="165"/>
      <c r="M18" s="165"/>
      <c r="N18" s="34" t="s">
        <v>37</v>
      </c>
      <c r="AS18" s="19">
        <f>AS14+1</f>
        <v>4</v>
      </c>
      <c r="AT18" s="34" t="s">
        <v>281</v>
      </c>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row>
    <row r="19" spans="2:79" ht="14.55" customHeight="1" x14ac:dyDescent="0.3">
      <c r="B19" s="34" t="s">
        <v>2</v>
      </c>
      <c r="Z19" s="2" t="s">
        <v>36</v>
      </c>
      <c r="AA19" s="183"/>
      <c r="AB19" s="183"/>
      <c r="AC19" s="183"/>
      <c r="AD19" s="183"/>
      <c r="AE19" s="34" t="s">
        <v>37</v>
      </c>
      <c r="AS19" s="19"/>
      <c r="AT19" s="34" t="s">
        <v>282</v>
      </c>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row>
    <row r="20" spans="2:79" ht="14.55" customHeight="1" x14ac:dyDescent="0.3">
      <c r="D20" s="2"/>
      <c r="E20" s="2"/>
      <c r="F20" s="2"/>
      <c r="G20" s="2"/>
      <c r="I20" s="2" t="s">
        <v>224</v>
      </c>
      <c r="J20" s="165"/>
      <c r="K20" s="165"/>
      <c r="L20" s="165"/>
      <c r="M20" s="165"/>
      <c r="N20" s="34" t="s">
        <v>37</v>
      </c>
      <c r="S20" s="34" t="s">
        <v>55</v>
      </c>
      <c r="AS20" s="19"/>
      <c r="AT20" s="34" t="str">
        <f>"by the "&amp;Tables!$C$23&amp;" Engineer;"</f>
        <v>by the City Engineer;</v>
      </c>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row>
    <row r="21" spans="2:79" ht="14.55" customHeight="1" x14ac:dyDescent="0.3">
      <c r="D21" s="2"/>
      <c r="E21" s="2"/>
      <c r="F21" s="2"/>
      <c r="G21" s="2"/>
      <c r="I21" s="2" t="s">
        <v>225</v>
      </c>
      <c r="J21" s="168"/>
      <c r="K21" s="168"/>
      <c r="L21" s="168"/>
      <c r="M21" s="168"/>
      <c r="N21" s="34" t="s">
        <v>37</v>
      </c>
      <c r="V21" s="2" t="s">
        <v>56</v>
      </c>
      <c r="W21" s="175">
        <f>IF(AL21=1,"0.00",IFERROR(IF($J$25-$AA$19&lt;0,0,$J$25-$AA$19),""))</f>
        <v>0</v>
      </c>
      <c r="X21" s="175"/>
      <c r="Y21" s="175"/>
      <c r="Z21" s="175"/>
      <c r="AA21" s="34" t="s">
        <v>37</v>
      </c>
      <c r="AL21" s="118">
        <f>IF(AND(J25=0,ISBLANK(AA19)),0,IF(OR(J25-AA19=0,J25-AA19&lt;0),1,2))</f>
        <v>0</v>
      </c>
      <c r="AS21" s="19">
        <f>AS18+1</f>
        <v>5</v>
      </c>
      <c r="AT21" s="89" t="s">
        <v>283</v>
      </c>
      <c r="AV21" s="31"/>
      <c r="AW21"/>
      <c r="AX21"/>
      <c r="AY21"/>
      <c r="AZ21"/>
      <c r="BA21"/>
      <c r="BB21"/>
      <c r="BC21"/>
      <c r="BD21"/>
      <c r="BE21"/>
      <c r="BF21"/>
      <c r="BG21"/>
      <c r="BH21"/>
      <c r="BI21"/>
      <c r="BJ21"/>
      <c r="BK21"/>
      <c r="BL21"/>
      <c r="BM21"/>
      <c r="BN21"/>
      <c r="BO21"/>
      <c r="BP21"/>
      <c r="BQ21"/>
      <c r="BR21"/>
      <c r="BS21"/>
      <c r="BT21"/>
      <c r="BU21"/>
      <c r="BV21"/>
      <c r="BW21"/>
      <c r="BX21"/>
      <c r="BY21"/>
      <c r="BZ21"/>
      <c r="CA21"/>
    </row>
    <row r="22" spans="2:79" ht="14.55" customHeight="1" x14ac:dyDescent="0.3">
      <c r="D22" s="2"/>
      <c r="E22" s="2"/>
      <c r="F22" s="2"/>
      <c r="G22" s="2"/>
      <c r="I22" s="2" t="s">
        <v>226</v>
      </c>
      <c r="J22" s="168"/>
      <c r="K22" s="168"/>
      <c r="L22" s="168"/>
      <c r="M22" s="168"/>
      <c r="N22" s="34" t="s">
        <v>37</v>
      </c>
      <c r="S22" s="34" t="s">
        <v>38</v>
      </c>
      <c r="AS22" s="19"/>
      <c r="AT22" s="89" t="str">
        <f>"pre-development hydrology for the "&amp;Tables!$C$28&amp;"-year 24-hour rainfall depths;"</f>
        <v>pre-development hydrology for the 2, 5, 10, and 25-year 24-hour rainfall depths;</v>
      </c>
      <c r="AV22"/>
      <c r="AW22"/>
      <c r="AX22"/>
      <c r="AY22"/>
      <c r="AZ22"/>
      <c r="BA22"/>
      <c r="BB22"/>
      <c r="BC22"/>
      <c r="BD22"/>
      <c r="BE22"/>
      <c r="BF22"/>
      <c r="BG22"/>
      <c r="BH22"/>
      <c r="BI22"/>
      <c r="BJ22"/>
      <c r="BK22"/>
      <c r="BL22"/>
      <c r="BM22"/>
      <c r="BN22"/>
      <c r="BO22"/>
      <c r="BP22"/>
      <c r="BQ22"/>
      <c r="BR22"/>
      <c r="BS22"/>
      <c r="BT22"/>
      <c r="BU22"/>
      <c r="BV22"/>
      <c r="BW22"/>
      <c r="BX22"/>
      <c r="BY22"/>
      <c r="BZ22"/>
      <c r="CA22"/>
    </row>
    <row r="23" spans="2:79" ht="14.55" customHeight="1" x14ac:dyDescent="0.3">
      <c r="D23" s="2"/>
      <c r="E23" s="2"/>
      <c r="F23" s="2"/>
      <c r="G23" s="2"/>
      <c r="I23" s="2" t="s">
        <v>227</v>
      </c>
      <c r="J23" s="168"/>
      <c r="K23" s="168"/>
      <c r="L23" s="168"/>
      <c r="M23" s="168"/>
      <c r="N23" s="34" t="s">
        <v>37</v>
      </c>
      <c r="V23" s="2" t="s">
        <v>40</v>
      </c>
      <c r="W23" s="34" t="str">
        <f>"AIA acres X "&amp;Tables!D15&amp; " in X 3,630"</f>
        <v>AIA acres X 1.10 in X 3,630</v>
      </c>
      <c r="AS23" s="19">
        <f>AS21+1</f>
        <v>6</v>
      </c>
      <c r="AT23" s="34" t="s">
        <v>346</v>
      </c>
      <c r="AV23"/>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row>
    <row r="24" spans="2:79" ht="14.55" customHeight="1" thickBot="1" x14ac:dyDescent="0.35">
      <c r="D24" s="2"/>
      <c r="E24" s="2"/>
      <c r="F24" s="2"/>
      <c r="G24" s="2"/>
      <c r="I24" s="2" t="s">
        <v>228</v>
      </c>
      <c r="J24" s="184"/>
      <c r="K24" s="184"/>
      <c r="L24" s="184"/>
      <c r="M24" s="184"/>
      <c r="N24" s="34" t="s">
        <v>37</v>
      </c>
      <c r="V24" s="2" t="s">
        <v>40</v>
      </c>
      <c r="W24" s="175">
        <f>IF(AL21=1,"0.00",IFERROR(IF($J$25-$AA$19&lt;0,0,$J$25-$AA$19),""))</f>
        <v>0</v>
      </c>
      <c r="X24" s="175"/>
      <c r="Y24" s="175"/>
      <c r="Z24" s="175"/>
      <c r="AA24" s="34" t="str">
        <f>"acres X "&amp;Tables!D15&amp;" in X 3,630"</f>
        <v>acres X 1.10 in X 3,630</v>
      </c>
      <c r="AT24" s="34" t="s">
        <v>347</v>
      </c>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row>
    <row r="25" spans="2:79" ht="14.55" customHeight="1" thickTop="1" x14ac:dyDescent="0.3">
      <c r="D25" s="2"/>
      <c r="E25" s="2"/>
      <c r="F25" s="2"/>
      <c r="G25" s="2"/>
      <c r="I25" s="2" t="s">
        <v>229</v>
      </c>
      <c r="J25" s="175">
        <f>IF(SUM($J$20:$J$24)=0,0,SUM($J$20:$J$24))</f>
        <v>0</v>
      </c>
      <c r="K25" s="175"/>
      <c r="L25" s="175"/>
      <c r="M25" s="175"/>
      <c r="N25" s="34" t="s">
        <v>37</v>
      </c>
      <c r="V25" s="2" t="s">
        <v>40</v>
      </c>
      <c r="W25" s="180">
        <f>IF(AL21=1,"0",IFERROR(ROUND(IF(($J$25-$AA$19)*Tables!C15*3630&lt;0,0,($J$25-$AA$19)*Tables!C15*3630),0),""))</f>
        <v>0</v>
      </c>
      <c r="X25" s="180"/>
      <c r="Y25" s="180"/>
      <c r="Z25" s="180"/>
      <c r="AA25" s="34" t="s">
        <v>39</v>
      </c>
      <c r="AT25" s="34" t="s">
        <v>284</v>
      </c>
      <c r="AU25" s="89"/>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row>
    <row r="26" spans="2:79" ht="10.050000000000001" customHeight="1" x14ac:dyDescent="0.3">
      <c r="AU26" s="89"/>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row>
    <row r="27" spans="2:79" ht="15" customHeight="1" x14ac:dyDescent="0.3">
      <c r="B27" s="1" t="s">
        <v>3</v>
      </c>
      <c r="C27" s="1"/>
      <c r="D27" s="1"/>
      <c r="E27" s="1"/>
      <c r="F27" s="1"/>
      <c r="G27" s="1"/>
      <c r="H27" s="1"/>
      <c r="I27" s="1"/>
      <c r="O27" s="2" t="s">
        <v>408</v>
      </c>
      <c r="P27" s="66"/>
      <c r="Q27" s="34" t="s">
        <v>409</v>
      </c>
      <c r="S27" s="66"/>
      <c r="T27" s="34" t="s">
        <v>410</v>
      </c>
      <c r="V27" s="66"/>
      <c r="W27" s="34" t="s">
        <v>411</v>
      </c>
      <c r="Y27" s="66"/>
      <c r="Z27" s="34" t="s">
        <v>412</v>
      </c>
      <c r="AL27" s="118">
        <f>IF(AND(ISBLANK(P27),ISBLANK(S27),ISBLANK(V27),ISBLANK(Y27)),1,2)</f>
        <v>1</v>
      </c>
      <c r="AS27" s="19">
        <f>AS23+1</f>
        <v>7</v>
      </c>
      <c r="AT27" s="34" t="s">
        <v>285</v>
      </c>
      <c r="AU27" s="89"/>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row>
    <row r="28" spans="2:79" s="16" customFormat="1" ht="15" hidden="1" customHeight="1" x14ac:dyDescent="0.3">
      <c r="B28" s="84"/>
      <c r="C28" s="84"/>
      <c r="D28" s="84"/>
      <c r="E28" s="84"/>
      <c r="F28" s="84"/>
      <c r="G28" s="84"/>
      <c r="H28" s="84"/>
      <c r="I28" s="84"/>
      <c r="L28" s="116">
        <f>IF(ISBLANK(L29),1,2)</f>
        <v>1</v>
      </c>
      <c r="P28" s="116">
        <f>IF(ISBLANK(P29),1,2)</f>
        <v>1</v>
      </c>
      <c r="T28" s="116">
        <f>IF(ISBLANK(T29),1,2)</f>
        <v>1</v>
      </c>
      <c r="X28" s="116">
        <f>IF(ISBLANK(X29),1,2)</f>
        <v>1</v>
      </c>
      <c r="AB28" s="116">
        <f>IF(ISBLANK(AB29),1,2)</f>
        <v>1</v>
      </c>
    </row>
    <row r="29" spans="2:79" ht="14.55" customHeight="1" x14ac:dyDescent="0.3">
      <c r="I29" s="2"/>
      <c r="J29" s="2" t="s">
        <v>50</v>
      </c>
      <c r="K29" s="2"/>
      <c r="L29" s="176"/>
      <c r="M29" s="176"/>
      <c r="N29" s="176"/>
      <c r="P29" s="176"/>
      <c r="Q29" s="176"/>
      <c r="R29" s="176"/>
      <c r="T29" s="176"/>
      <c r="U29" s="176"/>
      <c r="V29" s="176"/>
      <c r="W29" s="4"/>
      <c r="X29" s="176"/>
      <c r="Y29" s="176"/>
      <c r="Z29" s="176"/>
      <c r="AB29" s="176"/>
      <c r="AC29" s="176"/>
      <c r="AD29" s="176"/>
      <c r="AE29" s="4"/>
      <c r="AF29" s="185" t="s">
        <v>13</v>
      </c>
      <c r="AG29" s="185"/>
      <c r="AH29" s="185"/>
      <c r="AI29" s="4"/>
      <c r="AJ29" s="4"/>
      <c r="AT29" s="34" t="s">
        <v>286</v>
      </c>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row>
    <row r="30" spans="2:79" ht="14.55" customHeight="1" x14ac:dyDescent="0.3">
      <c r="I30" s="2"/>
      <c r="J30" s="2" t="s">
        <v>141</v>
      </c>
      <c r="K30" s="2"/>
      <c r="L30" s="168"/>
      <c r="M30" s="168"/>
      <c r="N30" s="168"/>
      <c r="P30" s="168"/>
      <c r="Q30" s="168"/>
      <c r="R30" s="168"/>
      <c r="T30" s="168"/>
      <c r="U30" s="168"/>
      <c r="V30" s="168"/>
      <c r="W30" s="4"/>
      <c r="X30" s="168"/>
      <c r="Y30" s="168"/>
      <c r="Z30" s="168"/>
      <c r="AB30" s="168"/>
      <c r="AC30" s="168"/>
      <c r="AD30" s="168"/>
      <c r="AE30" s="4"/>
      <c r="AF30" s="165"/>
      <c r="AG30" s="165"/>
      <c r="AH30" s="165"/>
      <c r="AI30" s="4"/>
      <c r="AJ30" s="4"/>
      <c r="AS30" s="19">
        <f>AS27+1</f>
        <v>8</v>
      </c>
      <c r="AT30" s="34" t="s">
        <v>348</v>
      </c>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row>
    <row r="31" spans="2:79" ht="14.55" customHeight="1" x14ac:dyDescent="0.3">
      <c r="I31" s="2"/>
      <c r="J31" s="2" t="s">
        <v>4</v>
      </c>
      <c r="K31" s="2"/>
      <c r="L31" s="177"/>
      <c r="M31" s="177"/>
      <c r="N31" s="177"/>
      <c r="P31" s="169"/>
      <c r="Q31" s="169"/>
      <c r="R31" s="169"/>
      <c r="S31" s="85"/>
      <c r="T31" s="169"/>
      <c r="U31" s="169"/>
      <c r="V31" s="169"/>
      <c r="W31" s="4"/>
      <c r="X31" s="169"/>
      <c r="Y31" s="169"/>
      <c r="Z31" s="169"/>
      <c r="AB31" s="169"/>
      <c r="AC31" s="169"/>
      <c r="AD31" s="169"/>
      <c r="AE31" s="4"/>
      <c r="AF31" s="169"/>
      <c r="AG31" s="169"/>
      <c r="AH31" s="169"/>
      <c r="AI31" s="4"/>
      <c r="AJ31" s="4"/>
      <c r="AS31" s="19"/>
      <c r="AT31" s="34" t="s">
        <v>349</v>
      </c>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row>
    <row r="32" spans="2:79" ht="14.55" customHeight="1" x14ac:dyDescent="0.3">
      <c r="I32" s="2"/>
      <c r="J32" s="2" t="s">
        <v>54</v>
      </c>
      <c r="K32" s="2"/>
      <c r="L32" s="164"/>
      <c r="M32" s="164"/>
      <c r="N32" s="164"/>
      <c r="P32" s="170"/>
      <c r="Q32" s="170"/>
      <c r="R32" s="170"/>
      <c r="S32" s="38"/>
      <c r="T32" s="170"/>
      <c r="U32" s="170"/>
      <c r="V32" s="170"/>
      <c r="W32" s="4"/>
      <c r="X32" s="170"/>
      <c r="Y32" s="170"/>
      <c r="Z32" s="170"/>
      <c r="AB32" s="170"/>
      <c r="AC32" s="170"/>
      <c r="AD32" s="170"/>
      <c r="AE32" s="4"/>
      <c r="AF32" s="170"/>
      <c r="AG32" s="170"/>
      <c r="AH32" s="170"/>
      <c r="AI32" s="4"/>
      <c r="AJ32" s="4"/>
      <c r="AL32" s="126">
        <f>SUM(AL33:AL38)</f>
        <v>0</v>
      </c>
      <c r="AM32" s="118">
        <f>SUM(AM33:AM38)</f>
        <v>0</v>
      </c>
      <c r="AN32" s="16" t="s">
        <v>13</v>
      </c>
      <c r="AS32" s="19">
        <f>AS30+1</f>
        <v>9</v>
      </c>
      <c r="AT32" s="34" t="s">
        <v>350</v>
      </c>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row>
    <row r="33" spans="2:79" ht="14.55" customHeight="1" x14ac:dyDescent="0.3">
      <c r="D33" s="204" t="s">
        <v>413</v>
      </c>
      <c r="E33" s="204"/>
      <c r="F33" s="188">
        <f>Tables!$C$16</f>
        <v>4.24</v>
      </c>
      <c r="G33" s="188"/>
      <c r="H33" s="38"/>
      <c r="J33" s="2" t="str">
        <f>Tables!$A$16</f>
        <v>(2-yr)</v>
      </c>
      <c r="K33" s="2"/>
      <c r="L33" s="183"/>
      <c r="M33" s="165"/>
      <c r="N33" s="165"/>
      <c r="P33" s="165"/>
      <c r="Q33" s="165"/>
      <c r="R33" s="165"/>
      <c r="S33" s="46"/>
      <c r="T33" s="165"/>
      <c r="U33" s="165"/>
      <c r="V33" s="165"/>
      <c r="W33" s="4"/>
      <c r="X33" s="165"/>
      <c r="Y33" s="165"/>
      <c r="Z33" s="165"/>
      <c r="AB33" s="165"/>
      <c r="AC33" s="165"/>
      <c r="AD33" s="165"/>
      <c r="AE33" s="4"/>
      <c r="AF33" s="165"/>
      <c r="AG33" s="165"/>
      <c r="AH33" s="165"/>
      <c r="AI33" s="4"/>
      <c r="AJ33" s="4"/>
      <c r="AL33" s="118">
        <f t="shared" ref="AL33:AL38" si="0">IF(AF33=0,0,1)</f>
        <v>0</v>
      </c>
      <c r="AM33" s="118">
        <f t="shared" ref="AM33:AM38" si="1">IF(ISBLANK(AF33),0,1)</f>
        <v>0</v>
      </c>
      <c r="AS33" s="19"/>
      <c r="AT33" s="34" t="s">
        <v>351</v>
      </c>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row>
    <row r="34" spans="2:79" ht="14.55" customHeight="1" x14ac:dyDescent="0.3">
      <c r="D34" s="204"/>
      <c r="E34" s="204"/>
      <c r="F34" s="188">
        <f>Tables!$C$17</f>
        <v>5.3</v>
      </c>
      <c r="G34" s="188"/>
      <c r="H34" s="38"/>
      <c r="J34" s="2" t="str">
        <f>Tables!$A$17</f>
        <v>(5-yr)</v>
      </c>
      <c r="K34" s="2"/>
      <c r="L34" s="165"/>
      <c r="M34" s="165"/>
      <c r="N34" s="165"/>
      <c r="P34" s="165"/>
      <c r="Q34" s="165"/>
      <c r="R34" s="165"/>
      <c r="S34" s="46"/>
      <c r="T34" s="168"/>
      <c r="U34" s="168"/>
      <c r="V34" s="168"/>
      <c r="W34" s="4"/>
      <c r="X34" s="168"/>
      <c r="Y34" s="168"/>
      <c r="Z34" s="168"/>
      <c r="AB34" s="168"/>
      <c r="AC34" s="168"/>
      <c r="AD34" s="168"/>
      <c r="AE34" s="4"/>
      <c r="AF34" s="168"/>
      <c r="AG34" s="168"/>
      <c r="AH34" s="168"/>
      <c r="AI34" s="4"/>
      <c r="AJ34" s="4"/>
      <c r="AL34" s="118">
        <f t="shared" si="0"/>
        <v>0</v>
      </c>
      <c r="AM34" s="118">
        <f t="shared" si="1"/>
        <v>0</v>
      </c>
      <c r="AT34" s="34" t="s">
        <v>352</v>
      </c>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row>
    <row r="35" spans="2:79" ht="14.55" customHeight="1" x14ac:dyDescent="0.3">
      <c r="D35" s="204"/>
      <c r="E35" s="204"/>
      <c r="F35" s="188">
        <f>Tables!$C$18</f>
        <v>6.24</v>
      </c>
      <c r="G35" s="188"/>
      <c r="H35" s="38"/>
      <c r="J35" s="2" t="str">
        <f>Tables!$A$18</f>
        <v>(10-yr)</v>
      </c>
      <c r="K35" s="2"/>
      <c r="L35" s="165"/>
      <c r="M35" s="165"/>
      <c r="N35" s="165"/>
      <c r="P35" s="168"/>
      <c r="Q35" s="168"/>
      <c r="R35" s="168"/>
      <c r="S35" s="46"/>
      <c r="T35" s="168"/>
      <c r="U35" s="168"/>
      <c r="V35" s="168"/>
      <c r="W35" s="4"/>
      <c r="X35" s="168"/>
      <c r="Y35" s="168"/>
      <c r="Z35" s="168"/>
      <c r="AB35" s="168"/>
      <c r="AC35" s="168"/>
      <c r="AD35" s="168"/>
      <c r="AE35" s="4"/>
      <c r="AF35" s="168"/>
      <c r="AG35" s="168"/>
      <c r="AH35" s="168"/>
      <c r="AI35" s="4"/>
      <c r="AJ35" s="4"/>
      <c r="AL35" s="118">
        <f t="shared" si="0"/>
        <v>0</v>
      </c>
      <c r="AM35" s="118">
        <f t="shared" si="1"/>
        <v>0</v>
      </c>
      <c r="AS35" s="19">
        <f>AS32+1</f>
        <v>10</v>
      </c>
      <c r="AT35" s="34" t="s">
        <v>353</v>
      </c>
      <c r="AV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row>
    <row r="36" spans="2:79" ht="14.55" customHeight="1" x14ac:dyDescent="0.3">
      <c r="D36" s="204"/>
      <c r="E36" s="204"/>
      <c r="F36" s="188">
        <f>Tables!$C$19</f>
        <v>7.64</v>
      </c>
      <c r="G36" s="188"/>
      <c r="H36" s="38"/>
      <c r="J36" s="2" t="str">
        <f>Tables!$A$19</f>
        <v>(25-yr)</v>
      </c>
      <c r="K36" s="2"/>
      <c r="L36" s="165"/>
      <c r="M36" s="165"/>
      <c r="N36" s="165"/>
      <c r="P36" s="168"/>
      <c r="Q36" s="168"/>
      <c r="R36" s="168"/>
      <c r="S36" s="46"/>
      <c r="T36" s="168"/>
      <c r="U36" s="168"/>
      <c r="V36" s="168"/>
      <c r="W36" s="4"/>
      <c r="X36" s="168"/>
      <c r="Y36" s="168"/>
      <c r="Z36" s="168"/>
      <c r="AB36" s="168"/>
      <c r="AC36" s="168"/>
      <c r="AD36" s="168"/>
      <c r="AE36" s="4"/>
      <c r="AF36" s="168"/>
      <c r="AG36" s="168"/>
      <c r="AH36" s="168"/>
      <c r="AI36" s="4"/>
      <c r="AJ36" s="4"/>
      <c r="AL36" s="118">
        <f t="shared" si="0"/>
        <v>0</v>
      </c>
      <c r="AM36" s="118">
        <f t="shared" si="1"/>
        <v>0</v>
      </c>
      <c r="AT36" s="34" t="s">
        <v>354</v>
      </c>
      <c r="AV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row>
    <row r="37" spans="2:79" ht="14.55" customHeight="1" x14ac:dyDescent="0.3">
      <c r="D37" s="204"/>
      <c r="E37" s="204"/>
      <c r="F37" s="188">
        <f>Tables!$C$20</f>
        <v>8.8000000000000007</v>
      </c>
      <c r="G37" s="188"/>
      <c r="H37" s="38"/>
      <c r="J37" s="2" t="str">
        <f>Tables!$A$20</f>
        <v>(50-yr)</v>
      </c>
      <c r="K37" s="2"/>
      <c r="L37" s="165"/>
      <c r="M37" s="165"/>
      <c r="N37" s="165"/>
      <c r="P37" s="168"/>
      <c r="Q37" s="168"/>
      <c r="R37" s="168"/>
      <c r="S37" s="46"/>
      <c r="T37" s="168"/>
      <c r="U37" s="168"/>
      <c r="V37" s="168"/>
      <c r="W37" s="4"/>
      <c r="X37" s="168"/>
      <c r="Y37" s="168"/>
      <c r="Z37" s="168"/>
      <c r="AB37" s="168"/>
      <c r="AC37" s="168"/>
      <c r="AD37" s="168"/>
      <c r="AE37" s="4"/>
      <c r="AF37" s="168"/>
      <c r="AG37" s="168"/>
      <c r="AH37" s="168"/>
      <c r="AI37" s="4"/>
      <c r="AJ37" s="4"/>
      <c r="AL37" s="118">
        <f t="shared" si="0"/>
        <v>0</v>
      </c>
      <c r="AM37" s="118">
        <f t="shared" si="1"/>
        <v>0</v>
      </c>
      <c r="AT37" s="34" t="s">
        <v>355</v>
      </c>
      <c r="AV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row>
    <row r="38" spans="2:79" ht="14.55" customHeight="1" x14ac:dyDescent="0.3">
      <c r="D38" s="204"/>
      <c r="E38" s="204"/>
      <c r="F38" s="188">
        <f>Tables!$C$21</f>
        <v>10</v>
      </c>
      <c r="G38" s="188"/>
      <c r="H38" s="38"/>
      <c r="J38" s="2" t="str">
        <f>Tables!$A$21</f>
        <v>(100-yr)</v>
      </c>
      <c r="K38" s="2"/>
      <c r="L38" s="165"/>
      <c r="M38" s="165"/>
      <c r="N38" s="165"/>
      <c r="P38" s="168"/>
      <c r="Q38" s="168"/>
      <c r="R38" s="168"/>
      <c r="S38" s="46"/>
      <c r="T38" s="168"/>
      <c r="U38" s="168"/>
      <c r="V38" s="168"/>
      <c r="W38" s="4"/>
      <c r="X38" s="168"/>
      <c r="Y38" s="168"/>
      <c r="Z38" s="168"/>
      <c r="AB38" s="168"/>
      <c r="AC38" s="168"/>
      <c r="AD38" s="168"/>
      <c r="AE38" s="4"/>
      <c r="AF38" s="168"/>
      <c r="AG38" s="168"/>
      <c r="AH38" s="168"/>
      <c r="AI38" s="4"/>
      <c r="AJ38" s="4"/>
      <c r="AL38" s="118">
        <f t="shared" si="0"/>
        <v>0</v>
      </c>
      <c r="AM38" s="118">
        <f t="shared" si="1"/>
        <v>0</v>
      </c>
      <c r="AS38" s="19"/>
      <c r="AT38" s="34" t="s">
        <v>356</v>
      </c>
      <c r="AV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row>
    <row r="39" spans="2:79" ht="10.050000000000001" customHeight="1" x14ac:dyDescent="0.3">
      <c r="AL39" s="18"/>
      <c r="AM39" s="18"/>
      <c r="AV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row>
    <row r="40" spans="2:79" ht="15" customHeight="1" x14ac:dyDescent="0.3">
      <c r="B40" s="1" t="s">
        <v>11</v>
      </c>
      <c r="C40" s="1"/>
      <c r="D40" s="1"/>
      <c r="E40" s="1"/>
      <c r="F40" s="1"/>
      <c r="G40" s="1"/>
      <c r="H40" s="1"/>
      <c r="I40" s="1"/>
      <c r="O40" s="2" t="s">
        <v>408</v>
      </c>
      <c r="P40" s="66"/>
      <c r="Q40" s="34" t="s">
        <v>409</v>
      </c>
      <c r="S40" s="66"/>
      <c r="T40" s="34" t="s">
        <v>410</v>
      </c>
      <c r="V40" s="66"/>
      <c r="W40" s="34" t="s">
        <v>411</v>
      </c>
      <c r="Y40" s="66"/>
      <c r="Z40" s="34" t="s">
        <v>412</v>
      </c>
      <c r="AL40" s="118">
        <f>IF(AND(ISBLANK(P40),ISBLANK(S40),ISBLANK(V40),ISBLANK(Y40)),1,2)</f>
        <v>1</v>
      </c>
      <c r="AS40" s="19">
        <f>AS35+1</f>
        <v>11</v>
      </c>
      <c r="AT40" s="34" t="s">
        <v>319</v>
      </c>
      <c r="AV40" s="31"/>
      <c r="BE40" s="86"/>
      <c r="BF40" s="86"/>
      <c r="BG40" s="86"/>
      <c r="BH40" s="86"/>
      <c r="BI40" s="86"/>
      <c r="BJ40" s="86"/>
      <c r="BK40" s="86"/>
      <c r="BL40" s="86"/>
      <c r="BM40" s="86"/>
      <c r="BN40" s="86"/>
      <c r="BO40" s="86"/>
      <c r="BP40" s="86"/>
      <c r="BQ40" s="86"/>
      <c r="BR40" s="86"/>
      <c r="BS40" s="86"/>
      <c r="BT40" s="86"/>
      <c r="BU40" s="86"/>
      <c r="BV40" s="86"/>
      <c r="BW40" s="86"/>
      <c r="BX40" s="86"/>
      <c r="BY40" s="86"/>
      <c r="BZ40" s="86"/>
      <c r="CA40" s="86"/>
    </row>
    <row r="41" spans="2:79" s="16" customFormat="1" ht="15" hidden="1" customHeight="1" x14ac:dyDescent="0.3">
      <c r="B41" s="84"/>
      <c r="C41" s="84"/>
      <c r="D41" s="84"/>
      <c r="E41" s="84"/>
      <c r="F41" s="84"/>
      <c r="G41" s="84"/>
      <c r="H41" s="84"/>
      <c r="I41" s="84"/>
      <c r="L41" s="116">
        <f>IF(ISBLANK(L42),1,2)</f>
        <v>1</v>
      </c>
      <c r="P41" s="116">
        <f>IF(ISBLANK(P42),1,2)</f>
        <v>1</v>
      </c>
      <c r="T41" s="116">
        <f>IF(ISBLANK(T42),1,2)</f>
        <v>1</v>
      </c>
      <c r="X41" s="116">
        <f>IF(ISBLANK(X42),1,2)</f>
        <v>1</v>
      </c>
      <c r="AB41" s="116">
        <f>IF(ISBLANK(AB42),1,2)</f>
        <v>1</v>
      </c>
    </row>
    <row r="42" spans="2:79" ht="14.55" customHeight="1" x14ac:dyDescent="0.3">
      <c r="I42" s="2"/>
      <c r="J42" s="2" t="s">
        <v>50</v>
      </c>
      <c r="K42" s="2"/>
      <c r="L42" s="176"/>
      <c r="M42" s="176"/>
      <c r="N42" s="176"/>
      <c r="P42" s="176"/>
      <c r="Q42" s="176"/>
      <c r="R42" s="176"/>
      <c r="S42" s="4"/>
      <c r="T42" s="176"/>
      <c r="U42" s="176"/>
      <c r="V42" s="176"/>
      <c r="W42" s="4"/>
      <c r="X42" s="176"/>
      <c r="Y42" s="176"/>
      <c r="Z42" s="176"/>
      <c r="AB42" s="176"/>
      <c r="AC42" s="176"/>
      <c r="AD42" s="176"/>
      <c r="AE42" s="4"/>
      <c r="AG42" s="4" t="s">
        <v>12</v>
      </c>
      <c r="AH42" s="4"/>
      <c r="AI42" s="4"/>
      <c r="AJ42" s="4"/>
      <c r="AS42" s="19">
        <f>AS40+1</f>
        <v>12</v>
      </c>
      <c r="AT42" s="34" t="s">
        <v>328</v>
      </c>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row>
    <row r="43" spans="2:79" ht="14.55" customHeight="1" x14ac:dyDescent="0.3">
      <c r="I43" s="2"/>
      <c r="J43" s="2" t="s">
        <v>141</v>
      </c>
      <c r="K43" s="2"/>
      <c r="L43" s="165"/>
      <c r="M43" s="165"/>
      <c r="N43" s="165"/>
      <c r="P43" s="168"/>
      <c r="Q43" s="168"/>
      <c r="R43" s="168"/>
      <c r="S43" s="4"/>
      <c r="T43" s="168"/>
      <c r="U43" s="168"/>
      <c r="V43" s="168"/>
      <c r="W43" s="4"/>
      <c r="X43" s="168"/>
      <c r="Y43" s="168"/>
      <c r="Z43" s="168"/>
      <c r="AB43" s="168"/>
      <c r="AC43" s="168"/>
      <c r="AD43" s="168"/>
      <c r="AE43" s="4"/>
      <c r="AF43" s="165"/>
      <c r="AG43" s="165"/>
      <c r="AH43" s="165"/>
      <c r="AI43" s="4"/>
      <c r="AJ43" s="4"/>
      <c r="AT43" s="4" t="s">
        <v>98</v>
      </c>
      <c r="AU43" s="34" t="s">
        <v>329</v>
      </c>
      <c r="AV43" s="133"/>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row>
    <row r="44" spans="2:79" ht="14.55" customHeight="1" x14ac:dyDescent="0.3">
      <c r="I44" s="2"/>
      <c r="J44" s="2" t="s">
        <v>4</v>
      </c>
      <c r="K44" s="2"/>
      <c r="L44" s="177"/>
      <c r="M44" s="177"/>
      <c r="N44" s="177"/>
      <c r="P44" s="169"/>
      <c r="Q44" s="169"/>
      <c r="R44" s="169"/>
      <c r="S44" s="4"/>
      <c r="T44" s="169"/>
      <c r="U44" s="169"/>
      <c r="V44" s="169"/>
      <c r="W44" s="4"/>
      <c r="X44" s="169"/>
      <c r="Y44" s="169"/>
      <c r="Z44" s="169"/>
      <c r="AB44" s="169"/>
      <c r="AC44" s="169"/>
      <c r="AD44" s="169"/>
      <c r="AE44" s="4"/>
      <c r="AF44" s="169"/>
      <c r="AG44" s="169"/>
      <c r="AH44" s="169"/>
      <c r="AI44" s="4"/>
      <c r="AJ44" s="4"/>
      <c r="AT44" s="4" t="s">
        <v>99</v>
      </c>
      <c r="AU44" s="34" t="s">
        <v>330</v>
      </c>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row>
    <row r="45" spans="2:79" ht="14.55" customHeight="1" x14ac:dyDescent="0.3">
      <c r="I45" s="2"/>
      <c r="J45" s="2" t="s">
        <v>54</v>
      </c>
      <c r="K45" s="2"/>
      <c r="L45" s="164"/>
      <c r="M45" s="164"/>
      <c r="N45" s="164"/>
      <c r="P45" s="170"/>
      <c r="Q45" s="170"/>
      <c r="R45" s="170"/>
      <c r="S45" s="4"/>
      <c r="T45" s="170"/>
      <c r="U45" s="170"/>
      <c r="V45" s="170"/>
      <c r="W45" s="4"/>
      <c r="X45" s="170"/>
      <c r="Y45" s="170"/>
      <c r="Z45" s="170"/>
      <c r="AB45" s="170"/>
      <c r="AC45" s="170"/>
      <c r="AD45" s="170"/>
      <c r="AE45" s="4"/>
      <c r="AF45" s="170"/>
      <c r="AG45" s="170"/>
      <c r="AH45" s="170"/>
      <c r="AI45" s="4"/>
      <c r="AJ45" s="4"/>
      <c r="AL45" s="126">
        <f>SUM(AL46:AL51)</f>
        <v>0</v>
      </c>
      <c r="AM45" s="118">
        <f>SUM(AM46:AM51)</f>
        <v>0</v>
      </c>
      <c r="AN45" s="16" t="s">
        <v>12</v>
      </c>
      <c r="AT45" s="4" t="s">
        <v>111</v>
      </c>
      <c r="AU45" s="34" t="s">
        <v>331</v>
      </c>
      <c r="AV45" s="31"/>
      <c r="AW45" s="86"/>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row>
    <row r="46" spans="2:79" ht="14.55" customHeight="1" x14ac:dyDescent="0.3">
      <c r="D46" s="204" t="s">
        <v>413</v>
      </c>
      <c r="E46" s="204"/>
      <c r="F46" s="188">
        <f>Tables!$C$16</f>
        <v>4.24</v>
      </c>
      <c r="G46" s="188"/>
      <c r="H46" s="38"/>
      <c r="J46" s="2" t="str">
        <f>Tables!$A$16</f>
        <v>(2-yr)</v>
      </c>
      <c r="K46" s="2"/>
      <c r="L46" s="165"/>
      <c r="M46" s="165"/>
      <c r="N46" s="165"/>
      <c r="P46" s="165"/>
      <c r="Q46" s="165"/>
      <c r="R46" s="165"/>
      <c r="S46" s="4"/>
      <c r="T46" s="165"/>
      <c r="U46" s="165"/>
      <c r="V46" s="165"/>
      <c r="W46" s="4"/>
      <c r="X46" s="165"/>
      <c r="Y46" s="165"/>
      <c r="Z46" s="165"/>
      <c r="AB46" s="165"/>
      <c r="AC46" s="165"/>
      <c r="AD46" s="165"/>
      <c r="AE46" s="4"/>
      <c r="AF46" s="165"/>
      <c r="AG46" s="165"/>
      <c r="AH46" s="165"/>
      <c r="AI46" s="4"/>
      <c r="AJ46" s="4"/>
      <c r="AL46" s="118">
        <f t="shared" ref="AL46:AL51" si="2">IF(AF46=0,0,1)</f>
        <v>0</v>
      </c>
      <c r="AM46" s="118">
        <f t="shared" ref="AM46:AM51" si="3">IF(ISBLANK(AF46),0,1)</f>
        <v>0</v>
      </c>
      <c r="AT46" s="4" t="s">
        <v>112</v>
      </c>
      <c r="AU46" s="34" t="s">
        <v>332</v>
      </c>
      <c r="AV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row>
    <row r="47" spans="2:79" ht="14.55" customHeight="1" x14ac:dyDescent="0.3">
      <c r="D47" s="204"/>
      <c r="E47" s="204"/>
      <c r="F47" s="188">
        <f>Tables!$C$17</f>
        <v>5.3</v>
      </c>
      <c r="G47" s="188"/>
      <c r="H47" s="38"/>
      <c r="J47" s="2" t="str">
        <f>Tables!$A$17</f>
        <v>(5-yr)</v>
      </c>
      <c r="K47" s="2"/>
      <c r="L47" s="165"/>
      <c r="M47" s="165"/>
      <c r="N47" s="165"/>
      <c r="P47" s="168"/>
      <c r="Q47" s="168"/>
      <c r="R47" s="168"/>
      <c r="S47" s="4"/>
      <c r="T47" s="168"/>
      <c r="U47" s="168"/>
      <c r="V47" s="168"/>
      <c r="W47" s="4"/>
      <c r="X47" s="168"/>
      <c r="Y47" s="168"/>
      <c r="Z47" s="168"/>
      <c r="AB47" s="168"/>
      <c r="AC47" s="168"/>
      <c r="AD47" s="168"/>
      <c r="AE47" s="4"/>
      <c r="AF47" s="168"/>
      <c r="AG47" s="168"/>
      <c r="AH47" s="168"/>
      <c r="AI47" s="4"/>
      <c r="AJ47" s="4"/>
      <c r="AL47" s="118">
        <f t="shared" si="2"/>
        <v>0</v>
      </c>
      <c r="AM47" s="118">
        <f t="shared" si="3"/>
        <v>0</v>
      </c>
      <c r="AT47" s="4" t="s">
        <v>110</v>
      </c>
      <c r="AU47" s="34" t="s">
        <v>333</v>
      </c>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row>
    <row r="48" spans="2:79" ht="14.55" customHeight="1" x14ac:dyDescent="0.3">
      <c r="D48" s="204"/>
      <c r="E48" s="204"/>
      <c r="F48" s="188">
        <f>Tables!$C$18</f>
        <v>6.24</v>
      </c>
      <c r="G48" s="188"/>
      <c r="H48" s="38"/>
      <c r="J48" s="2" t="str">
        <f>Tables!$A$18</f>
        <v>(10-yr)</v>
      </c>
      <c r="K48" s="2"/>
      <c r="L48" s="165"/>
      <c r="M48" s="165"/>
      <c r="N48" s="165"/>
      <c r="P48" s="168"/>
      <c r="Q48" s="168"/>
      <c r="R48" s="168"/>
      <c r="S48" s="4"/>
      <c r="T48" s="168"/>
      <c r="U48" s="168"/>
      <c r="V48" s="168"/>
      <c r="W48" s="4"/>
      <c r="X48" s="168"/>
      <c r="Y48" s="168"/>
      <c r="Z48" s="168"/>
      <c r="AB48" s="168"/>
      <c r="AC48" s="168"/>
      <c r="AD48" s="168"/>
      <c r="AE48" s="4"/>
      <c r="AF48" s="168"/>
      <c r="AG48" s="168"/>
      <c r="AH48" s="168"/>
      <c r="AI48" s="4"/>
      <c r="AJ48" s="4"/>
      <c r="AL48" s="118">
        <f t="shared" si="2"/>
        <v>0</v>
      </c>
      <c r="AM48" s="118">
        <f t="shared" si="3"/>
        <v>0</v>
      </c>
      <c r="AT48" s="4" t="s">
        <v>113</v>
      </c>
      <c r="AU48" s="34" t="s">
        <v>334</v>
      </c>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row>
    <row r="49" spans="2:79" ht="14.55" customHeight="1" x14ac:dyDescent="0.3">
      <c r="D49" s="204"/>
      <c r="E49" s="204"/>
      <c r="F49" s="188">
        <f>Tables!$C$19</f>
        <v>7.64</v>
      </c>
      <c r="G49" s="188"/>
      <c r="H49" s="38"/>
      <c r="J49" s="2" t="str">
        <f>Tables!$A$19</f>
        <v>(25-yr)</v>
      </c>
      <c r="K49" s="2"/>
      <c r="L49" s="165"/>
      <c r="M49" s="165"/>
      <c r="N49" s="165"/>
      <c r="P49" s="168"/>
      <c r="Q49" s="168"/>
      <c r="R49" s="168"/>
      <c r="S49" s="4"/>
      <c r="T49" s="168"/>
      <c r="U49" s="168"/>
      <c r="V49" s="168"/>
      <c r="W49" s="4"/>
      <c r="X49" s="168"/>
      <c r="Y49" s="168"/>
      <c r="Z49" s="168"/>
      <c r="AB49" s="168"/>
      <c r="AC49" s="168"/>
      <c r="AD49" s="168"/>
      <c r="AE49" s="4"/>
      <c r="AF49" s="168"/>
      <c r="AG49" s="168"/>
      <c r="AH49" s="168"/>
      <c r="AI49" s="4"/>
      <c r="AJ49" s="4"/>
      <c r="AL49" s="118">
        <f t="shared" si="2"/>
        <v>0</v>
      </c>
      <c r="AM49" s="118">
        <f t="shared" si="3"/>
        <v>0</v>
      </c>
      <c r="AT49" s="4" t="s">
        <v>325</v>
      </c>
      <c r="AU49" s="34" t="s">
        <v>335</v>
      </c>
      <c r="AV49" s="31"/>
      <c r="AW49" s="31"/>
      <c r="AX49" s="31"/>
    </row>
    <row r="50" spans="2:79" ht="14.55" customHeight="1" x14ac:dyDescent="0.3">
      <c r="D50" s="204"/>
      <c r="E50" s="204"/>
      <c r="F50" s="188">
        <f>Tables!$C$20</f>
        <v>8.8000000000000007</v>
      </c>
      <c r="G50" s="188"/>
      <c r="H50" s="38"/>
      <c r="J50" s="2" t="str">
        <f>Tables!$A$20</f>
        <v>(50-yr)</v>
      </c>
      <c r="K50" s="2"/>
      <c r="L50" s="165"/>
      <c r="M50" s="165"/>
      <c r="N50" s="165"/>
      <c r="P50" s="168"/>
      <c r="Q50" s="168"/>
      <c r="R50" s="168"/>
      <c r="S50" s="4"/>
      <c r="T50" s="168"/>
      <c r="U50" s="168"/>
      <c r="V50" s="168"/>
      <c r="W50" s="4"/>
      <c r="X50" s="168"/>
      <c r="Y50" s="168"/>
      <c r="Z50" s="168"/>
      <c r="AB50" s="168"/>
      <c r="AC50" s="168"/>
      <c r="AD50" s="168"/>
      <c r="AE50" s="4"/>
      <c r="AF50" s="168"/>
      <c r="AG50" s="168"/>
      <c r="AH50" s="168"/>
      <c r="AI50" s="4"/>
      <c r="AJ50" s="4"/>
      <c r="AL50" s="118">
        <f t="shared" si="2"/>
        <v>0</v>
      </c>
      <c r="AM50" s="118">
        <f t="shared" si="3"/>
        <v>0</v>
      </c>
      <c r="AT50" s="4" t="s">
        <v>336</v>
      </c>
      <c r="AU50" s="34" t="s">
        <v>337</v>
      </c>
      <c r="AV50" s="31"/>
      <c r="AW50" s="31"/>
      <c r="AX50" s="31"/>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row>
    <row r="51" spans="2:79" ht="14.55" customHeight="1" x14ac:dyDescent="0.3">
      <c r="D51" s="204"/>
      <c r="E51" s="204"/>
      <c r="F51" s="188">
        <f>Tables!$C$21</f>
        <v>10</v>
      </c>
      <c r="G51" s="188"/>
      <c r="H51" s="38"/>
      <c r="J51" s="2" t="str">
        <f>Tables!$A$21</f>
        <v>(100-yr)</v>
      </c>
      <c r="K51" s="2"/>
      <c r="L51" s="165"/>
      <c r="M51" s="165"/>
      <c r="N51" s="165"/>
      <c r="P51" s="168"/>
      <c r="Q51" s="168"/>
      <c r="R51" s="168"/>
      <c r="S51" s="4"/>
      <c r="T51" s="168"/>
      <c r="U51" s="168"/>
      <c r="V51" s="168"/>
      <c r="W51" s="4"/>
      <c r="X51" s="168"/>
      <c r="Y51" s="168"/>
      <c r="Z51" s="168"/>
      <c r="AB51" s="168"/>
      <c r="AC51" s="168"/>
      <c r="AD51" s="168"/>
      <c r="AE51" s="4"/>
      <c r="AF51" s="168"/>
      <c r="AG51" s="168"/>
      <c r="AH51" s="168"/>
      <c r="AI51" s="4"/>
      <c r="AJ51" s="4"/>
      <c r="AL51" s="118">
        <f t="shared" si="2"/>
        <v>0</v>
      </c>
      <c r="AM51" s="118">
        <f t="shared" si="3"/>
        <v>0</v>
      </c>
      <c r="AS51" s="133" t="s">
        <v>183</v>
      </c>
      <c r="AV51" s="31"/>
      <c r="AW51" s="31"/>
      <c r="AX51" s="31"/>
    </row>
    <row r="52" spans="2:79" ht="10.050000000000001" customHeight="1" x14ac:dyDescent="0.3">
      <c r="AK52" s="38"/>
      <c r="AV52" s="31"/>
      <c r="AW52" s="31"/>
      <c r="AX52" s="31"/>
    </row>
    <row r="53" spans="2:79" ht="15" customHeight="1" x14ac:dyDescent="0.3">
      <c r="J53" s="2" t="s">
        <v>414</v>
      </c>
      <c r="K53" s="66"/>
      <c r="L53" s="34" t="s">
        <v>128</v>
      </c>
      <c r="N53" s="66"/>
      <c r="O53" s="34" t="s">
        <v>129</v>
      </c>
      <c r="V53" s="2" t="s">
        <v>415</v>
      </c>
      <c r="W53" s="66"/>
      <c r="X53" s="34" t="s">
        <v>128</v>
      </c>
      <c r="Z53" s="66"/>
      <c r="AA53" s="34" t="s">
        <v>129</v>
      </c>
      <c r="AL53" s="118">
        <f>IF(AND(ISBLANK(K53),ISBLANK(N53)),1,2)</f>
        <v>1</v>
      </c>
      <c r="AM53" s="118">
        <f>IF(ISBLANK(K53),1,2)</f>
        <v>1</v>
      </c>
      <c r="AN53" s="118">
        <f>IF(AND(ISBLANK(W53),ISBLANK(Z53)),1,2)</f>
        <v>1</v>
      </c>
      <c r="AO53" s="118">
        <f>IF(ISBLANK(W53),1,2)</f>
        <v>1</v>
      </c>
      <c r="AS53" s="19">
        <v>1</v>
      </c>
      <c r="AT53" s="34" t="s">
        <v>184</v>
      </c>
      <c r="AV53" s="31"/>
      <c r="AW53" s="31"/>
      <c r="AX53" s="31"/>
    </row>
    <row r="54" spans="2:79" ht="15" customHeight="1" x14ac:dyDescent="0.3">
      <c r="J54" s="2"/>
      <c r="K54" s="144"/>
      <c r="N54" s="144"/>
      <c r="V54" s="2"/>
      <c r="W54" s="144"/>
      <c r="Z54" s="144"/>
      <c r="AL54" s="18"/>
      <c r="AM54" s="18"/>
      <c r="AN54" s="18"/>
      <c r="AO54" s="18"/>
      <c r="AQ54" s="18"/>
      <c r="AS54" s="19">
        <v>2</v>
      </c>
      <c r="AT54" s="34" t="s">
        <v>287</v>
      </c>
      <c r="AV54" s="31"/>
      <c r="AW54" s="31"/>
      <c r="AX54" s="31"/>
    </row>
    <row r="55" spans="2:79" ht="15" customHeight="1" x14ac:dyDescent="0.3">
      <c r="B55" s="186">
        <f>Tables!$C$13</f>
        <v>45566</v>
      </c>
      <c r="C55" s="186"/>
      <c r="D55" s="186"/>
      <c r="E55" s="186"/>
      <c r="F55" s="186"/>
      <c r="G55" s="186"/>
      <c r="H55" s="186"/>
      <c r="R55" s="185" t="s">
        <v>240</v>
      </c>
      <c r="S55" s="185"/>
      <c r="T55" s="185"/>
      <c r="U55" s="185"/>
      <c r="AK55" s="38"/>
      <c r="AS55" s="19"/>
      <c r="AT55" s="34" t="s">
        <v>288</v>
      </c>
      <c r="AW55" s="31"/>
      <c r="AX55" s="31"/>
    </row>
    <row r="56" spans="2:79" ht="15" customHeight="1" x14ac:dyDescent="0.3">
      <c r="C56" s="2" t="s">
        <v>144</v>
      </c>
      <c r="D56" s="173">
        <f>IF(ISBLANK($E$13),0,$E$13)</f>
        <v>0</v>
      </c>
      <c r="E56" s="173"/>
      <c r="F56" s="173"/>
      <c r="G56" s="173"/>
      <c r="H56" s="173"/>
      <c r="I56" s="173"/>
      <c r="J56" s="173"/>
      <c r="K56" s="173"/>
      <c r="L56" s="173"/>
      <c r="M56" s="173"/>
      <c r="N56" s="173"/>
      <c r="O56" s="173"/>
      <c r="P56" s="173"/>
      <c r="Q56" s="173"/>
      <c r="R56" s="173"/>
      <c r="S56" s="173"/>
      <c r="T56" s="173"/>
      <c r="U56" s="173"/>
      <c r="V56" s="173"/>
      <c r="W56" s="173"/>
      <c r="X56" s="173"/>
      <c r="Y56" s="173"/>
      <c r="AD56" s="2" t="s">
        <v>21</v>
      </c>
      <c r="AE56" s="174">
        <f>IF(ISBLANK($AE$13),0,$AE$13)</f>
        <v>0</v>
      </c>
      <c r="AF56" s="174"/>
      <c r="AG56" s="174"/>
      <c r="AH56" s="174"/>
      <c r="AI56" s="174"/>
      <c r="AJ56" s="174"/>
      <c r="AS56" s="19">
        <v>3</v>
      </c>
      <c r="AT56" s="34" t="s">
        <v>235</v>
      </c>
      <c r="AX56" s="31"/>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row>
    <row r="57" spans="2:79" ht="15" customHeight="1" x14ac:dyDescent="0.3">
      <c r="B57" s="2"/>
      <c r="C57" s="2"/>
      <c r="D57" s="2"/>
      <c r="E57" s="2"/>
      <c r="F57" s="2"/>
      <c r="G57" s="2"/>
      <c r="H57" s="2"/>
      <c r="I57" s="2"/>
      <c r="J57" s="2"/>
      <c r="K57" s="2"/>
      <c r="L57" s="2"/>
      <c r="M57" s="2"/>
      <c r="N57" s="2"/>
      <c r="O57" s="2"/>
      <c r="P57" s="2"/>
      <c r="Q57" s="2"/>
      <c r="R57" s="2"/>
      <c r="S57" s="2"/>
      <c r="T57" s="2"/>
      <c r="U57" s="2"/>
      <c r="V57" s="2"/>
      <c r="W57" s="2"/>
      <c r="X57" s="2"/>
      <c r="Y57" s="2"/>
      <c r="Z57" s="2"/>
      <c r="AD57" s="2" t="s">
        <v>35</v>
      </c>
      <c r="AE57" s="187">
        <f>IF(ISBLANK($AE$14),0,$AE$14)</f>
        <v>0</v>
      </c>
      <c r="AF57" s="187"/>
      <c r="AG57" s="187"/>
      <c r="AH57" s="187"/>
      <c r="AI57" s="187"/>
      <c r="AJ57" s="187"/>
      <c r="AK57" s="2"/>
      <c r="AL57" s="83"/>
      <c r="AM57" s="83"/>
      <c r="AN57" s="83"/>
      <c r="AO57" s="83"/>
      <c r="AP57" s="83"/>
      <c r="AQ57" s="83"/>
      <c r="AR57" s="2"/>
      <c r="AS57" s="19">
        <v>4</v>
      </c>
      <c r="AT57" s="34" t="s">
        <v>185</v>
      </c>
      <c r="AW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row>
    <row r="58" spans="2:79" ht="15" customHeight="1" x14ac:dyDescent="0.3">
      <c r="B58" s="1" t="s">
        <v>169</v>
      </c>
      <c r="C58" s="1"/>
      <c r="D58" s="1"/>
      <c r="E58" s="1"/>
      <c r="F58" s="1"/>
      <c r="G58" s="1"/>
      <c r="H58" s="1"/>
      <c r="K58" s="2"/>
      <c r="L58" s="2"/>
      <c r="M58" s="2" t="s">
        <v>177</v>
      </c>
      <c r="N58" s="66"/>
      <c r="O58" s="14" t="s">
        <v>172</v>
      </c>
      <c r="P58" s="14"/>
      <c r="S58" s="17"/>
      <c r="T58" s="14" t="s">
        <v>182</v>
      </c>
      <c r="AF58" s="2"/>
      <c r="AG58" s="2"/>
      <c r="AH58" s="2"/>
      <c r="AI58" s="2"/>
      <c r="AJ58" s="2"/>
      <c r="AK58" s="2"/>
      <c r="AL58" s="118">
        <f>IF(AND(ISBLANK(N58),ISBLANK(S58)),1,2)</f>
        <v>1</v>
      </c>
      <c r="AM58" s="118">
        <f>IF(ISBLANK(N58),0,1)</f>
        <v>0</v>
      </c>
      <c r="AN58" s="83"/>
      <c r="AO58" s="83"/>
      <c r="AP58" s="83"/>
      <c r="AQ58" s="83"/>
      <c r="AR58" s="2"/>
      <c r="AT58" s="34" t="s">
        <v>379</v>
      </c>
      <c r="AV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row>
    <row r="59" spans="2:79" ht="15" customHeight="1" x14ac:dyDescent="0.3">
      <c r="D59" s="2"/>
      <c r="F59" s="2"/>
      <c r="G59" s="2" t="s">
        <v>171</v>
      </c>
      <c r="H59" s="164"/>
      <c r="I59" s="164"/>
      <c r="J59" s="164"/>
      <c r="K59" s="14" t="s">
        <v>44</v>
      </c>
      <c r="L59" s="37"/>
      <c r="M59" s="37"/>
      <c r="O59" s="2"/>
      <c r="P59" s="2"/>
      <c r="Q59" s="2"/>
      <c r="T59" s="2" t="s">
        <v>173</v>
      </c>
      <c r="U59" s="165"/>
      <c r="V59" s="165"/>
      <c r="W59" s="165"/>
      <c r="X59" s="165"/>
      <c r="Y59" s="14" t="s">
        <v>44</v>
      </c>
      <c r="AB59" s="2"/>
      <c r="AC59" s="2"/>
      <c r="AD59" s="2"/>
      <c r="AK59" s="2"/>
      <c r="AL59" s="83"/>
      <c r="AM59" s="118">
        <f>IF(ISBLANK(S58),0,2)</f>
        <v>0</v>
      </c>
      <c r="AN59" s="83"/>
      <c r="AO59" s="83"/>
      <c r="AP59" s="83"/>
      <c r="AQ59" s="83"/>
      <c r="AR59" s="2"/>
      <c r="AS59" s="19">
        <v>6</v>
      </c>
      <c r="AT59" s="34" t="s">
        <v>289</v>
      </c>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row>
    <row r="60" spans="2:79" ht="15" customHeight="1" x14ac:dyDescent="0.3">
      <c r="D60" s="2"/>
      <c r="F60" s="2"/>
      <c r="G60" s="2" t="s">
        <v>215</v>
      </c>
      <c r="H60" s="170"/>
      <c r="I60" s="170"/>
      <c r="J60" s="170"/>
      <c r="K60" s="14" t="s">
        <v>44</v>
      </c>
      <c r="L60" s="37"/>
      <c r="M60" s="37"/>
      <c r="O60" s="2"/>
      <c r="P60" s="2"/>
      <c r="Q60" s="2"/>
      <c r="T60" s="2" t="s">
        <v>174</v>
      </c>
      <c r="U60" s="166"/>
      <c r="V60" s="166"/>
      <c r="W60" s="166"/>
      <c r="X60" s="166"/>
      <c r="Y60" s="167" t="str">
        <f>IF($AM$60=0,"Units?",IF($AM$60=1,"ac",IF($AM$60=2,"sq-ft","Error")))</f>
        <v>Units?</v>
      </c>
      <c r="Z60" s="167"/>
      <c r="AB60" s="2"/>
      <c r="AC60" s="2"/>
      <c r="AD60" s="2"/>
      <c r="AE60" s="2"/>
      <c r="AF60" s="2"/>
      <c r="AG60" s="2"/>
      <c r="AH60" s="2"/>
      <c r="AI60" s="2"/>
      <c r="AJ60" s="2"/>
      <c r="AK60" s="2"/>
      <c r="AL60" s="83"/>
      <c r="AM60" s="118">
        <f>SUM(AM58:AM59)</f>
        <v>0</v>
      </c>
      <c r="AN60" s="16" t="s">
        <v>375</v>
      </c>
      <c r="AQ60" s="83"/>
      <c r="AR60" s="2"/>
      <c r="AT60" s="34" t="s">
        <v>290</v>
      </c>
      <c r="AW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row>
    <row r="61" spans="2:79" ht="15" customHeight="1" x14ac:dyDescent="0.3">
      <c r="D61" s="2"/>
      <c r="F61" s="2"/>
      <c r="G61" s="2" t="s">
        <v>170</v>
      </c>
      <c r="H61" s="170"/>
      <c r="I61" s="170"/>
      <c r="J61" s="170"/>
      <c r="K61" s="14" t="s">
        <v>44</v>
      </c>
      <c r="L61" s="37"/>
      <c r="M61" s="37"/>
      <c r="O61" s="2"/>
      <c r="P61" s="2"/>
      <c r="Q61" s="2"/>
      <c r="T61" s="2" t="s">
        <v>175</v>
      </c>
      <c r="U61" s="166"/>
      <c r="V61" s="166"/>
      <c r="W61" s="166"/>
      <c r="X61" s="166"/>
      <c r="Y61" s="167" t="str">
        <f>IF($AM$60=0,"Units?",IF($AM$60=1,"ac-ft",IF($AM$60=2,"cu-ft","Error")))</f>
        <v>Units?</v>
      </c>
      <c r="Z61" s="167"/>
      <c r="AB61" s="2"/>
      <c r="AC61" s="2"/>
      <c r="AD61" s="2"/>
      <c r="AE61" s="2" t="s">
        <v>180</v>
      </c>
      <c r="AF61" s="17"/>
      <c r="AG61" s="34" t="s">
        <v>128</v>
      </c>
      <c r="AH61" s="2"/>
      <c r="AI61" s="17"/>
      <c r="AJ61" s="34" t="s">
        <v>129</v>
      </c>
      <c r="AK61" s="2"/>
      <c r="AL61" s="118">
        <f>IF(AND(ISBLANK(AF61),ISBLANK(AI61)),1,2)</f>
        <v>1</v>
      </c>
      <c r="AM61" s="118">
        <f>IF(AND(ISBLANK(AF63),ISBLANK(AI63)),1,2)</f>
        <v>1</v>
      </c>
      <c r="AN61" s="83"/>
      <c r="AO61" s="83"/>
      <c r="AP61" s="83"/>
      <c r="AQ61" s="83"/>
      <c r="AR61" s="2"/>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row>
    <row r="62" spans="2:79" ht="4.95" customHeight="1" x14ac:dyDescent="0.3">
      <c r="D62" s="2"/>
      <c r="F62" s="2"/>
      <c r="G62" s="2"/>
      <c r="H62" s="2"/>
      <c r="I62" s="4"/>
      <c r="J62" s="4"/>
      <c r="K62" s="4"/>
      <c r="L62" s="4"/>
      <c r="M62" s="4"/>
      <c r="N62" s="14"/>
      <c r="O62" s="2"/>
      <c r="P62" s="2"/>
      <c r="Q62" s="2"/>
      <c r="T62" s="2"/>
      <c r="U62" s="2"/>
      <c r="V62" s="2"/>
      <c r="W62" s="87"/>
      <c r="X62" s="87"/>
      <c r="Y62" s="88"/>
      <c r="AA62" s="14"/>
      <c r="AB62" s="2"/>
      <c r="AC62" s="2"/>
      <c r="AD62" s="2"/>
      <c r="AE62" s="2"/>
      <c r="AF62" s="2"/>
      <c r="AG62" s="2"/>
      <c r="AH62" s="2"/>
      <c r="AI62" s="2"/>
      <c r="AJ62" s="2"/>
      <c r="AK62" s="2"/>
      <c r="AL62" s="83"/>
      <c r="AM62" s="83"/>
      <c r="AN62" s="83"/>
      <c r="AO62" s="83"/>
      <c r="AP62" s="83"/>
      <c r="AQ62" s="83"/>
      <c r="AR62" s="2"/>
      <c r="AV62" s="30"/>
      <c r="AW62" s="30"/>
      <c r="AX62" s="30"/>
    </row>
    <row r="63" spans="2:79" ht="15" customHeight="1" x14ac:dyDescent="0.3">
      <c r="B63" s="2"/>
      <c r="D63" s="2"/>
      <c r="F63" s="2"/>
      <c r="G63" s="2" t="s">
        <v>189</v>
      </c>
      <c r="H63" s="17"/>
      <c r="I63" s="34" t="s">
        <v>128</v>
      </c>
      <c r="L63" s="17"/>
      <c r="M63" s="34" t="s">
        <v>129</v>
      </c>
      <c r="Q63" s="2"/>
      <c r="T63" s="2" t="s">
        <v>176</v>
      </c>
      <c r="U63" s="191"/>
      <c r="V63" s="191"/>
      <c r="W63" s="191"/>
      <c r="X63" s="191"/>
      <c r="Y63" s="167" t="str">
        <f>IF($AM$60=0,"Units?",IF($AM$60=1,"ac-ft",IF($AM$60=2,"cu-ft","Error")))</f>
        <v>Units?</v>
      </c>
      <c r="Z63" s="167"/>
      <c r="AB63" s="2"/>
      <c r="AC63" s="2"/>
      <c r="AE63" s="2" t="s">
        <v>181</v>
      </c>
      <c r="AF63" s="17"/>
      <c r="AG63" s="34" t="s">
        <v>128</v>
      </c>
      <c r="AI63" s="17"/>
      <c r="AJ63" s="34" t="s">
        <v>129</v>
      </c>
      <c r="AK63" s="2"/>
      <c r="AL63" s="118">
        <f>IF(ISBLANK(H63),0,1)</f>
        <v>0</v>
      </c>
      <c r="AM63" s="118">
        <f>IF(AND(ISBLANK(H63),ISBLANK(L63)),1,2)</f>
        <v>1</v>
      </c>
      <c r="AN63" s="83"/>
      <c r="AO63" s="83"/>
      <c r="AP63" s="83"/>
      <c r="AQ63" s="83"/>
      <c r="AR63" s="14"/>
      <c r="AU63" s="30"/>
      <c r="AV63" s="30"/>
      <c r="AW63" s="30"/>
      <c r="AX63" s="30"/>
    </row>
    <row r="64" spans="2:79" ht="15" customHeight="1" x14ac:dyDescent="0.3">
      <c r="B64" s="1" t="s">
        <v>14</v>
      </c>
      <c r="C64" s="1"/>
      <c r="D64" s="1"/>
      <c r="E64" s="1"/>
      <c r="F64" s="1"/>
      <c r="G64" s="1"/>
      <c r="H64" s="1"/>
      <c r="I64" s="1"/>
      <c r="J64" s="2"/>
      <c r="K64" s="2"/>
      <c r="L64" s="2"/>
      <c r="M64" s="2"/>
      <c r="N64" s="47"/>
      <c r="O64" s="46"/>
      <c r="P64" s="46"/>
      <c r="Q64" s="46"/>
      <c r="R64" s="46"/>
      <c r="S64" s="46"/>
      <c r="T64" s="46"/>
      <c r="U64" s="46"/>
      <c r="V64" s="46"/>
      <c r="W64" s="46"/>
      <c r="X64" s="46"/>
      <c r="Y64" s="46"/>
      <c r="Z64" s="46"/>
      <c r="AV64" s="30"/>
      <c r="AW64" s="30"/>
      <c r="AX64" s="30"/>
    </row>
    <row r="65" spans="3:50" ht="15" customHeight="1" x14ac:dyDescent="0.3">
      <c r="E65" s="2" t="s">
        <v>198</v>
      </c>
      <c r="F65" s="181"/>
      <c r="G65" s="181"/>
      <c r="H65" s="181"/>
      <c r="I65" s="181"/>
      <c r="J65" s="89"/>
      <c r="K65" s="89"/>
      <c r="L65" s="89"/>
      <c r="O65" s="2" t="s">
        <v>199</v>
      </c>
      <c r="P65" s="181"/>
      <c r="Q65" s="181"/>
      <c r="R65" s="181"/>
      <c r="AC65" s="2"/>
      <c r="AE65" s="2" t="s">
        <v>152</v>
      </c>
      <c r="AF65" s="17"/>
      <c r="AG65" s="34" t="s">
        <v>128</v>
      </c>
      <c r="AI65" s="17"/>
      <c r="AJ65" s="34" t="s">
        <v>129</v>
      </c>
      <c r="AL65" s="118">
        <f>IF(AND(ISBLANK(AF65),ISBLANK(AI65)),1,2)</f>
        <v>1</v>
      </c>
      <c r="AV65" s="30"/>
      <c r="AW65" s="30"/>
      <c r="AX65" s="30"/>
    </row>
    <row r="66" spans="3:50" ht="15" customHeight="1" x14ac:dyDescent="0.3">
      <c r="E66" s="2" t="s">
        <v>197</v>
      </c>
      <c r="F66" s="170"/>
      <c r="G66" s="170"/>
      <c r="H66" s="170"/>
      <c r="I66" s="170"/>
      <c r="J66" s="34" t="s">
        <v>44</v>
      </c>
      <c r="K66" s="38"/>
      <c r="AL66" s="118">
        <f>IF(ISBLANK(F66),1,2)</f>
        <v>1</v>
      </c>
    </row>
    <row r="67" spans="3:50" ht="15" customHeight="1" x14ac:dyDescent="0.3">
      <c r="E67" s="2" t="s">
        <v>196</v>
      </c>
      <c r="F67" s="170"/>
      <c r="G67" s="170"/>
      <c r="H67" s="170"/>
      <c r="I67" s="170"/>
      <c r="J67" s="34" t="s">
        <v>44</v>
      </c>
      <c r="K67" s="38"/>
      <c r="O67" s="2" t="s">
        <v>45</v>
      </c>
      <c r="P67" s="164"/>
      <c r="Q67" s="164"/>
      <c r="R67" s="164"/>
      <c r="S67" s="34" t="s">
        <v>44</v>
      </c>
      <c r="AE67" s="2" t="s">
        <v>179</v>
      </c>
      <c r="AF67" s="17"/>
      <c r="AG67" s="34" t="s">
        <v>128</v>
      </c>
      <c r="AI67" s="17"/>
      <c r="AJ67" s="34" t="s">
        <v>129</v>
      </c>
      <c r="AL67" s="118">
        <f>IF(AND(ISBLANK(F67),ISBLANK(P67)),1,2)</f>
        <v>1</v>
      </c>
      <c r="AM67" s="118">
        <f>IF(AND(ISBLANK(AF67),ISBLANK(AI67)),1,2)</f>
        <v>1</v>
      </c>
    </row>
    <row r="68" spans="3:50" ht="4.95" customHeight="1" x14ac:dyDescent="0.3"/>
    <row r="69" spans="3:50" ht="15" customHeight="1" x14ac:dyDescent="0.3">
      <c r="E69" s="2" t="s">
        <v>187</v>
      </c>
      <c r="F69" s="164"/>
      <c r="G69" s="164"/>
      <c r="H69" s="164"/>
      <c r="I69" s="164"/>
      <c r="J69" s="34" t="s">
        <v>44</v>
      </c>
      <c r="K69" s="38"/>
      <c r="O69" s="2" t="s">
        <v>46</v>
      </c>
      <c r="P69" s="164"/>
      <c r="Q69" s="164"/>
      <c r="R69" s="164"/>
      <c r="S69" s="34" t="s">
        <v>44</v>
      </c>
      <c r="AC69" s="2"/>
      <c r="AE69" s="2" t="s">
        <v>178</v>
      </c>
      <c r="AF69" s="17"/>
      <c r="AG69" s="34" t="s">
        <v>128</v>
      </c>
      <c r="AI69" s="17"/>
      <c r="AJ69" s="34" t="s">
        <v>129</v>
      </c>
      <c r="AL69" s="118">
        <f>IF(AND(ISBLANK(AF69),ISBLANK(AI69)),1,2)</f>
        <v>1</v>
      </c>
    </row>
    <row r="70" spans="3:50" ht="15" customHeight="1" x14ac:dyDescent="0.3">
      <c r="F70" s="185" t="s">
        <v>34</v>
      </c>
      <c r="G70" s="185"/>
      <c r="H70" s="185"/>
      <c r="I70" s="185"/>
      <c r="J70" s="38"/>
      <c r="K70" s="38"/>
      <c r="L70" s="4" t="s">
        <v>313</v>
      </c>
      <c r="N70" s="4"/>
      <c r="O70" s="4"/>
      <c r="P70" s="4"/>
      <c r="Q70" s="4" t="s">
        <v>314</v>
      </c>
      <c r="S70" s="4"/>
      <c r="V70" s="4" t="s">
        <v>42</v>
      </c>
      <c r="AA70" s="4" t="s">
        <v>81</v>
      </c>
      <c r="AB70" s="4"/>
      <c r="AC70" s="4"/>
      <c r="AF70" s="4" t="s">
        <v>407</v>
      </c>
      <c r="AG70" s="4"/>
      <c r="AH70" s="4"/>
    </row>
    <row r="71" spans="3:50" ht="15" customHeight="1" x14ac:dyDescent="0.3">
      <c r="E71" s="2" t="s">
        <v>194</v>
      </c>
      <c r="F71" s="181"/>
      <c r="G71" s="181"/>
      <c r="H71" s="181"/>
      <c r="I71" s="181"/>
      <c r="J71" s="38"/>
      <c r="K71" s="164"/>
      <c r="L71" s="164"/>
      <c r="M71" s="164"/>
      <c r="N71" s="34" t="s">
        <v>43</v>
      </c>
      <c r="O71" s="4"/>
      <c r="P71" s="164"/>
      <c r="Q71" s="164"/>
      <c r="R71" s="164"/>
      <c r="S71" s="34" t="s">
        <v>43</v>
      </c>
      <c r="U71" s="164"/>
      <c r="V71" s="164"/>
      <c r="W71" s="164"/>
      <c r="X71" s="34" t="s">
        <v>44</v>
      </c>
      <c r="Z71" s="164"/>
      <c r="AA71" s="164"/>
      <c r="AB71" s="164"/>
      <c r="AC71" s="34" t="s">
        <v>44</v>
      </c>
      <c r="AE71" s="164"/>
      <c r="AF71" s="164"/>
      <c r="AG71" s="164"/>
      <c r="AH71" s="34" t="s">
        <v>399</v>
      </c>
      <c r="AL71" s="118">
        <f>IF(ISBLANK(F71),1,2)</f>
        <v>1</v>
      </c>
    </row>
    <row r="72" spans="3:50" ht="4.95" customHeight="1" x14ac:dyDescent="0.3">
      <c r="E72" s="2"/>
      <c r="F72" s="2"/>
      <c r="G72" s="2"/>
      <c r="H72" s="2"/>
      <c r="I72" s="2"/>
      <c r="J72" s="38"/>
      <c r="K72" s="2"/>
      <c r="L72" s="2"/>
      <c r="N72" s="2"/>
      <c r="O72" s="4"/>
      <c r="P72" s="2"/>
      <c r="S72" s="2"/>
      <c r="U72" s="2"/>
      <c r="V72" s="2"/>
      <c r="X72" s="2"/>
      <c r="Y72" s="2"/>
      <c r="Z72" s="2"/>
      <c r="AC72" s="2"/>
      <c r="AD72" s="2"/>
      <c r="AE72" s="2"/>
      <c r="AF72" s="2"/>
      <c r="AG72" s="2"/>
      <c r="AH72" s="2"/>
      <c r="AI72" s="2"/>
      <c r="AJ72" s="2"/>
    </row>
    <row r="73" spans="3:50" ht="15" customHeight="1" x14ac:dyDescent="0.3">
      <c r="E73" s="2" t="s">
        <v>193</v>
      </c>
      <c r="F73" s="181"/>
      <c r="G73" s="181"/>
      <c r="H73" s="181"/>
      <c r="I73" s="181"/>
      <c r="J73" s="38"/>
      <c r="K73" s="164"/>
      <c r="L73" s="164"/>
      <c r="M73" s="164"/>
      <c r="N73" s="34" t="str">
        <f>IF(F73="V-notch","deg","in")</f>
        <v>in</v>
      </c>
      <c r="O73" s="4"/>
      <c r="P73" s="164"/>
      <c r="Q73" s="164"/>
      <c r="R73" s="164"/>
      <c r="S73" s="34" t="s">
        <v>43</v>
      </c>
      <c r="U73" s="164"/>
      <c r="V73" s="164"/>
      <c r="W73" s="164"/>
      <c r="X73" s="34" t="s">
        <v>44</v>
      </c>
      <c r="AC73" s="2"/>
      <c r="AE73" s="2" t="s">
        <v>357</v>
      </c>
      <c r="AF73" s="17"/>
      <c r="AG73" s="34" t="s">
        <v>128</v>
      </c>
      <c r="AI73" s="17"/>
      <c r="AJ73" s="34" t="s">
        <v>129</v>
      </c>
      <c r="AL73" s="118">
        <f>IF(ISBLANK(F73),1,2)</f>
        <v>1</v>
      </c>
      <c r="AM73" s="118">
        <f>IF(AND(ISBLANK(AF73),ISBLANK(AI73)),1,2)</f>
        <v>1</v>
      </c>
      <c r="AN73" s="118">
        <f>IF(ISBLANK(AI73),1,2)</f>
        <v>1</v>
      </c>
      <c r="AO73" s="18"/>
      <c r="AP73" s="18"/>
    </row>
    <row r="74" spans="3:50" ht="4.95" customHeight="1" x14ac:dyDescent="0.3">
      <c r="E74" s="2"/>
      <c r="J74" s="38"/>
      <c r="K74" s="38"/>
      <c r="O74" s="4"/>
      <c r="P74" s="38"/>
      <c r="U74" s="38"/>
      <c r="V74" s="38"/>
    </row>
    <row r="75" spans="3:50" ht="15" customHeight="1" x14ac:dyDescent="0.3">
      <c r="C75" s="189" t="s">
        <v>220</v>
      </c>
      <c r="D75" s="189"/>
      <c r="E75" s="189"/>
      <c r="F75" s="181"/>
      <c r="G75" s="181"/>
      <c r="H75" s="181"/>
      <c r="I75" s="181"/>
      <c r="J75" s="38"/>
      <c r="K75" s="164"/>
      <c r="L75" s="164"/>
      <c r="M75" s="164"/>
      <c r="N75" s="34" t="str">
        <f>IF(F75="V-notch","deg","in")</f>
        <v>in</v>
      </c>
      <c r="O75" s="4"/>
      <c r="P75" s="164"/>
      <c r="Q75" s="164"/>
      <c r="R75" s="164"/>
      <c r="S75" s="34" t="s">
        <v>43</v>
      </c>
      <c r="U75" s="164"/>
      <c r="V75" s="164"/>
      <c r="W75" s="164"/>
      <c r="X75" s="34" t="s">
        <v>44</v>
      </c>
      <c r="AC75" s="2"/>
      <c r="AE75" s="2" t="s">
        <v>190</v>
      </c>
      <c r="AF75" s="17"/>
      <c r="AG75" s="34" t="s">
        <v>128</v>
      </c>
      <c r="AI75" s="17"/>
      <c r="AJ75" s="34" t="s">
        <v>129</v>
      </c>
      <c r="AL75" s="118">
        <f>IF(C75="None:",3,IF(OR(C75="Orifice: ",C75="Weir: "),2,1))</f>
        <v>1</v>
      </c>
      <c r="AM75" s="118">
        <f>IF(AND(ISBLANK(AF75),ISBLANK(AI75)),1,2)</f>
        <v>1</v>
      </c>
    </row>
    <row r="76" spans="3:50" ht="4.95" customHeight="1" x14ac:dyDescent="0.3">
      <c r="J76" s="38"/>
      <c r="O76" s="4"/>
      <c r="P76" s="4"/>
      <c r="Q76" s="4"/>
      <c r="R76" s="4"/>
      <c r="S76" s="4"/>
      <c r="T76" s="4"/>
      <c r="U76" s="4"/>
      <c r="V76" s="4"/>
      <c r="W76" s="4"/>
      <c r="X76" s="4"/>
      <c r="Y76" s="4"/>
    </row>
    <row r="77" spans="3:50" ht="15" customHeight="1" x14ac:dyDescent="0.3">
      <c r="C77" s="189" t="s">
        <v>220</v>
      </c>
      <c r="D77" s="189"/>
      <c r="E77" s="189"/>
      <c r="F77" s="181"/>
      <c r="G77" s="181"/>
      <c r="H77" s="181"/>
      <c r="I77" s="181"/>
      <c r="J77" s="38"/>
      <c r="K77" s="164"/>
      <c r="L77" s="164"/>
      <c r="M77" s="164"/>
      <c r="N77" s="34" t="str">
        <f t="shared" ref="N77:N82" si="4">IF(F77="V-notch","deg","in")</f>
        <v>in</v>
      </c>
      <c r="O77" s="4"/>
      <c r="P77" s="164"/>
      <c r="Q77" s="164"/>
      <c r="R77" s="164"/>
      <c r="S77" s="34" t="s">
        <v>43</v>
      </c>
      <c r="U77" s="164"/>
      <c r="V77" s="164"/>
      <c r="W77" s="164"/>
      <c r="X77" s="34" t="s">
        <v>44</v>
      </c>
      <c r="AC77" s="2"/>
      <c r="AE77" s="2" t="s">
        <v>186</v>
      </c>
      <c r="AF77" s="17"/>
      <c r="AG77" s="34" t="s">
        <v>128</v>
      </c>
      <c r="AI77" s="17"/>
      <c r="AJ77" s="34" t="s">
        <v>129</v>
      </c>
      <c r="AL77" s="118">
        <f>IF(OR(C77="Orifice: ",C77="Weir: "),2,1)</f>
        <v>1</v>
      </c>
      <c r="AM77" s="118">
        <f>IF(AND(ISBLANK(AF77),ISBLANK(AI77)),1,2)</f>
        <v>1</v>
      </c>
    </row>
    <row r="78" spans="3:50" ht="15" customHeight="1" x14ac:dyDescent="0.3">
      <c r="C78" s="189" t="s">
        <v>220</v>
      </c>
      <c r="D78" s="189"/>
      <c r="E78" s="189"/>
      <c r="F78" s="181"/>
      <c r="G78" s="181"/>
      <c r="H78" s="181"/>
      <c r="I78" s="181"/>
      <c r="J78" s="38"/>
      <c r="K78" s="170"/>
      <c r="L78" s="170"/>
      <c r="M78" s="170"/>
      <c r="N78" s="34" t="str">
        <f t="shared" si="4"/>
        <v>in</v>
      </c>
      <c r="O78" s="4"/>
      <c r="P78" s="170"/>
      <c r="Q78" s="170"/>
      <c r="R78" s="170"/>
      <c r="S78" s="34" t="s">
        <v>43</v>
      </c>
      <c r="U78" s="170"/>
      <c r="V78" s="170"/>
      <c r="W78" s="170"/>
      <c r="X78" s="34" t="s">
        <v>44</v>
      </c>
      <c r="AL78" s="118">
        <f t="shared" ref="AL78:AL82" si="5">IF(OR(C78="Orifice: ",C78="Weir: "),2,1)</f>
        <v>1</v>
      </c>
    </row>
    <row r="79" spans="3:50" ht="15" customHeight="1" x14ac:dyDescent="0.3">
      <c r="C79" s="189" t="s">
        <v>220</v>
      </c>
      <c r="D79" s="189"/>
      <c r="E79" s="189"/>
      <c r="F79" s="181"/>
      <c r="G79" s="181"/>
      <c r="H79" s="181"/>
      <c r="I79" s="181"/>
      <c r="J79" s="38"/>
      <c r="K79" s="170"/>
      <c r="L79" s="170"/>
      <c r="M79" s="170"/>
      <c r="N79" s="34" t="str">
        <f t="shared" si="4"/>
        <v>in</v>
      </c>
      <c r="O79" s="4"/>
      <c r="P79" s="170"/>
      <c r="Q79" s="170"/>
      <c r="R79" s="170"/>
      <c r="S79" s="34" t="s">
        <v>43</v>
      </c>
      <c r="U79" s="170"/>
      <c r="V79" s="170"/>
      <c r="W79" s="170"/>
      <c r="X79" s="34" t="s">
        <v>44</v>
      </c>
      <c r="AL79" s="118">
        <f t="shared" si="5"/>
        <v>1</v>
      </c>
    </row>
    <row r="80" spans="3:50" ht="15" customHeight="1" x14ac:dyDescent="0.3">
      <c r="C80" s="189" t="s">
        <v>220</v>
      </c>
      <c r="D80" s="189"/>
      <c r="E80" s="189"/>
      <c r="F80" s="181"/>
      <c r="G80" s="181"/>
      <c r="H80" s="181"/>
      <c r="I80" s="181"/>
      <c r="J80" s="38"/>
      <c r="K80" s="170"/>
      <c r="L80" s="170"/>
      <c r="M80" s="170"/>
      <c r="N80" s="34" t="str">
        <f t="shared" si="4"/>
        <v>in</v>
      </c>
      <c r="O80" s="4"/>
      <c r="P80" s="170"/>
      <c r="Q80" s="170"/>
      <c r="R80" s="170"/>
      <c r="S80" s="34" t="s">
        <v>43</v>
      </c>
      <c r="U80" s="170"/>
      <c r="V80" s="170"/>
      <c r="W80" s="170"/>
      <c r="X80" s="34" t="s">
        <v>44</v>
      </c>
      <c r="AL80" s="118">
        <f t="shared" si="5"/>
        <v>1</v>
      </c>
    </row>
    <row r="81" spans="2:42" ht="15" customHeight="1" x14ac:dyDescent="0.3">
      <c r="C81" s="189" t="s">
        <v>220</v>
      </c>
      <c r="D81" s="189"/>
      <c r="E81" s="189"/>
      <c r="F81" s="181"/>
      <c r="G81" s="181"/>
      <c r="H81" s="181"/>
      <c r="I81" s="181"/>
      <c r="J81" s="38"/>
      <c r="K81" s="170"/>
      <c r="L81" s="170"/>
      <c r="M81" s="170"/>
      <c r="N81" s="34" t="str">
        <f t="shared" si="4"/>
        <v>in</v>
      </c>
      <c r="O81" s="4"/>
      <c r="P81" s="170"/>
      <c r="Q81" s="170"/>
      <c r="R81" s="170"/>
      <c r="S81" s="34" t="s">
        <v>43</v>
      </c>
      <c r="U81" s="170"/>
      <c r="V81" s="170"/>
      <c r="W81" s="170"/>
      <c r="X81" s="34" t="s">
        <v>44</v>
      </c>
      <c r="AL81" s="118">
        <f t="shared" si="5"/>
        <v>1</v>
      </c>
    </row>
    <row r="82" spans="2:42" ht="15" customHeight="1" x14ac:dyDescent="0.3">
      <c r="C82" s="189" t="s">
        <v>220</v>
      </c>
      <c r="D82" s="189"/>
      <c r="E82" s="189"/>
      <c r="F82" s="181"/>
      <c r="G82" s="181"/>
      <c r="H82" s="181"/>
      <c r="I82" s="181"/>
      <c r="J82" s="38"/>
      <c r="K82" s="170"/>
      <c r="L82" s="170"/>
      <c r="M82" s="170"/>
      <c r="N82" s="34" t="str">
        <f t="shared" si="4"/>
        <v>in</v>
      </c>
      <c r="O82" s="4"/>
      <c r="P82" s="170"/>
      <c r="Q82" s="170"/>
      <c r="R82" s="170"/>
      <c r="S82" s="34" t="s">
        <v>43</v>
      </c>
      <c r="U82" s="170"/>
      <c r="V82" s="170"/>
      <c r="W82" s="170"/>
      <c r="X82" s="34" t="s">
        <v>44</v>
      </c>
      <c r="AL82" s="118">
        <f t="shared" si="5"/>
        <v>1</v>
      </c>
    </row>
    <row r="83" spans="2:42" ht="4.95" customHeight="1" x14ac:dyDescent="0.3">
      <c r="AL83" s="116"/>
    </row>
    <row r="84" spans="2:42" ht="15" customHeight="1" x14ac:dyDescent="0.3">
      <c r="B84" s="1" t="s">
        <v>15</v>
      </c>
      <c r="C84" s="1"/>
      <c r="D84" s="1"/>
      <c r="E84" s="1"/>
      <c r="F84" s="1"/>
      <c r="G84" s="1"/>
      <c r="H84" s="1"/>
      <c r="I84" s="1"/>
      <c r="Z84" s="2"/>
      <c r="AE84" s="2" t="s">
        <v>152</v>
      </c>
      <c r="AF84" s="17"/>
      <c r="AG84" s="34" t="s">
        <v>128</v>
      </c>
      <c r="AH84" s="43"/>
      <c r="AI84" s="17"/>
      <c r="AJ84" s="43" t="s">
        <v>153</v>
      </c>
      <c r="AL84" s="125">
        <f>IF(AND(ISBLANK(AF84),ISBLANK(AI84)),1,2)</f>
        <v>1</v>
      </c>
      <c r="AM84" s="118">
        <f>SUM(AM85,AM86,AM88,AO88,AO86,AO85)</f>
        <v>0</v>
      </c>
      <c r="AN84" s="16" t="s">
        <v>84</v>
      </c>
    </row>
    <row r="85" spans="2:42" ht="15" customHeight="1" x14ac:dyDescent="0.3">
      <c r="E85" s="2" t="s">
        <v>198</v>
      </c>
      <c r="F85" s="181"/>
      <c r="G85" s="181"/>
      <c r="H85" s="181"/>
      <c r="I85" s="181"/>
      <c r="N85" s="2" t="s">
        <v>199</v>
      </c>
      <c r="O85" s="181"/>
      <c r="P85" s="181"/>
      <c r="Q85" s="181"/>
      <c r="AI85" s="43"/>
      <c r="AJ85" s="43"/>
      <c r="AL85" s="83" t="s">
        <v>53</v>
      </c>
      <c r="AM85" s="118">
        <f>IF(ISBLANK(F86),0,1)</f>
        <v>0</v>
      </c>
      <c r="AN85" s="83" t="s">
        <v>24</v>
      </c>
      <c r="AO85" s="118">
        <f>IF(ISBLANK(F85),0,1)</f>
        <v>0</v>
      </c>
      <c r="AP85" s="83"/>
    </row>
    <row r="86" spans="2:42" ht="15" customHeight="1" x14ac:dyDescent="0.3">
      <c r="E86" s="2" t="s">
        <v>196</v>
      </c>
      <c r="F86" s="170"/>
      <c r="G86" s="170"/>
      <c r="H86" s="170"/>
      <c r="I86" s="170"/>
      <c r="J86" s="34" t="s">
        <v>44</v>
      </c>
      <c r="N86" s="2" t="s">
        <v>200</v>
      </c>
      <c r="O86" s="170"/>
      <c r="P86" s="170"/>
      <c r="Q86" s="170"/>
      <c r="R86" s="34" t="s">
        <v>44</v>
      </c>
      <c r="V86" s="2" t="s">
        <v>222</v>
      </c>
      <c r="W86" s="164"/>
      <c r="X86" s="164"/>
      <c r="Y86" s="164"/>
      <c r="Z86" s="34" t="s">
        <v>44</v>
      </c>
      <c r="AE86" s="2" t="s">
        <v>302</v>
      </c>
      <c r="AF86" s="164"/>
      <c r="AG86" s="164"/>
      <c r="AH86" s="164"/>
      <c r="AI86" s="34" t="s">
        <v>44</v>
      </c>
      <c r="AL86" s="83" t="s">
        <v>81</v>
      </c>
      <c r="AM86" s="118">
        <f>IF(ISBLANK(O86),0,1)</f>
        <v>0</v>
      </c>
      <c r="AN86" s="83" t="s">
        <v>34</v>
      </c>
      <c r="AO86" s="118">
        <f>IF(ISBLANK(O85),0,1)</f>
        <v>0</v>
      </c>
      <c r="AP86" s="83"/>
    </row>
    <row r="87" spans="2:42" ht="4.95" customHeight="1" x14ac:dyDescent="0.3">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L87" s="83"/>
      <c r="AN87" s="83"/>
      <c r="AP87" s="83"/>
    </row>
    <row r="88" spans="2:42" ht="15" customHeight="1" x14ac:dyDescent="0.3">
      <c r="B88" s="1" t="s">
        <v>16</v>
      </c>
      <c r="N88" s="41" t="s">
        <v>210</v>
      </c>
      <c r="O88" s="190"/>
      <c r="P88" s="190"/>
      <c r="Q88" s="190"/>
      <c r="R88" s="190"/>
      <c r="V88" s="2" t="s">
        <v>211</v>
      </c>
      <c r="W88" s="207"/>
      <c r="X88" s="207"/>
      <c r="Y88" s="207"/>
      <c r="Z88" s="207"/>
      <c r="AL88" s="83" t="s">
        <v>82</v>
      </c>
      <c r="AM88" s="118">
        <f>IF(ISBLANK(W86),0,1)</f>
        <v>0</v>
      </c>
      <c r="AN88" s="83" t="s">
        <v>83</v>
      </c>
      <c r="AO88" s="118">
        <f>IF(ISBLANK(AF86),0,1)</f>
        <v>0</v>
      </c>
      <c r="AP88" s="83"/>
    </row>
    <row r="89" spans="2:42" ht="4.95" customHeight="1" x14ac:dyDescent="0.3">
      <c r="B89" s="1"/>
      <c r="AL89" s="83"/>
      <c r="AN89" s="83"/>
      <c r="AP89" s="83"/>
    </row>
    <row r="90" spans="2:42" ht="19.95" customHeight="1" x14ac:dyDescent="0.3">
      <c r="B90" s="1" t="s">
        <v>456</v>
      </c>
      <c r="C90" s="1"/>
      <c r="D90" s="1"/>
      <c r="E90" s="1"/>
      <c r="F90" s="1"/>
      <c r="G90" s="1"/>
      <c r="H90" s="1"/>
      <c r="I90" s="1"/>
      <c r="AL90" s="83" t="s">
        <v>154</v>
      </c>
      <c r="AM90" s="118">
        <f>IF(ISBLANK(O88),0,1)</f>
        <v>0</v>
      </c>
      <c r="AN90" s="83" t="s">
        <v>156</v>
      </c>
      <c r="AO90" s="118">
        <f>SUM(AM90:AM91)</f>
        <v>0</v>
      </c>
      <c r="AP90" s="83"/>
    </row>
    <row r="91" spans="2:42" ht="15" customHeight="1" x14ac:dyDescent="0.3">
      <c r="C91" s="185" t="s">
        <v>17</v>
      </c>
      <c r="D91" s="185"/>
      <c r="E91" s="185"/>
      <c r="F91" s="4"/>
      <c r="G91" s="4"/>
      <c r="H91" s="4"/>
      <c r="I91" s="4" t="s">
        <v>18</v>
      </c>
      <c r="K91" s="4"/>
      <c r="L91" s="4"/>
      <c r="M91" s="34" t="s">
        <v>52</v>
      </c>
      <c r="T91" s="4" t="s">
        <v>17</v>
      </c>
      <c r="V91" s="4"/>
      <c r="W91" s="4"/>
      <c r="Y91" s="4" t="s">
        <v>18</v>
      </c>
      <c r="Z91" s="4"/>
      <c r="AC91" s="34" t="s">
        <v>52</v>
      </c>
      <c r="AL91" s="83" t="s">
        <v>155</v>
      </c>
      <c r="AM91" s="118">
        <f>IF(ISBLANK(W88),0,1)</f>
        <v>0</v>
      </c>
      <c r="AP91" s="83"/>
    </row>
    <row r="92" spans="2:42" ht="14.55" customHeight="1" x14ac:dyDescent="0.3">
      <c r="C92" s="164"/>
      <c r="D92" s="164"/>
      <c r="E92" s="164"/>
      <c r="F92" s="34" t="s">
        <v>44</v>
      </c>
      <c r="H92" s="191"/>
      <c r="I92" s="191"/>
      <c r="J92" s="191"/>
      <c r="K92" s="167" t="str">
        <f>IF($AM$60=0,"Units?",IF($AM$60=1,"ac",IF($AM$60=2,"sq-ft","Error")))</f>
        <v>Units?</v>
      </c>
      <c r="L92" s="167"/>
      <c r="M92" s="191"/>
      <c r="N92" s="191"/>
      <c r="O92" s="191"/>
      <c r="P92" s="191"/>
      <c r="Q92" s="167" t="str">
        <f>IF($AM$60=0,"Units?",IF($AM$60=1,"ac-ft",IF($AM$60=2,"cu-ft","Error")))</f>
        <v>Units?</v>
      </c>
      <c r="R92" s="167"/>
      <c r="S92" s="164"/>
      <c r="T92" s="164"/>
      <c r="U92" s="164"/>
      <c r="V92" s="34" t="s">
        <v>44</v>
      </c>
      <c r="W92" s="38"/>
      <c r="X92" s="191"/>
      <c r="Y92" s="191"/>
      <c r="Z92" s="191"/>
      <c r="AA92" s="167" t="str">
        <f t="shared" ref="AA92:AA101" si="6">IF($AM$60=0,"Units?",IF($AM$60=1,"ac",IF($AM$60=2,"sq-ft","Error")))</f>
        <v>Units?</v>
      </c>
      <c r="AB92" s="167"/>
      <c r="AC92" s="191"/>
      <c r="AD92" s="191"/>
      <c r="AE92" s="191"/>
      <c r="AF92" s="191"/>
      <c r="AG92" s="167" t="str">
        <f>IF($AM$60=0,"Units?",IF($AM$60=1,"ac-ft",IF($AM$60=2,"cu-ft","Error")))</f>
        <v>Units?</v>
      </c>
      <c r="AH92" s="167"/>
      <c r="AL92" s="118">
        <f t="shared" ref="AL92:AL101" si="7">IF(ISBLANK(C92),1,2)</f>
        <v>1</v>
      </c>
      <c r="AM92" s="118">
        <f t="shared" ref="AM92:AM101" si="8">IF(ISBLANK(S92),1,2)</f>
        <v>1</v>
      </c>
      <c r="AN92" s="118">
        <f>IF(ISBLANK(H92),1,2)</f>
        <v>1</v>
      </c>
      <c r="AO92" s="118">
        <f>IF(ISBLANK(M92),1,2)</f>
        <v>1</v>
      </c>
      <c r="AP92" s="83"/>
    </row>
    <row r="93" spans="2:42" ht="14.55" customHeight="1" x14ac:dyDescent="0.3">
      <c r="C93" s="170"/>
      <c r="D93" s="170"/>
      <c r="E93" s="170"/>
      <c r="F93" s="34" t="s">
        <v>44</v>
      </c>
      <c r="H93" s="166"/>
      <c r="I93" s="166"/>
      <c r="J93" s="166"/>
      <c r="K93" s="167" t="str">
        <f t="shared" ref="K93:K101" si="9">IF($AM$60=0,"Units?",IF($AM$60=1,"ac",IF($AM$60=2,"sq-ft","Error")))</f>
        <v>Units?</v>
      </c>
      <c r="L93" s="167"/>
      <c r="M93" s="166"/>
      <c r="N93" s="166"/>
      <c r="O93" s="166"/>
      <c r="P93" s="166"/>
      <c r="Q93" s="167" t="str">
        <f t="shared" ref="Q93:Q101" si="10">IF($AM$60=0,"Units?",IF($AM$60=1,"ac-ft",IF($AM$60=2,"cu-ft","Error")))</f>
        <v>Units?</v>
      </c>
      <c r="R93" s="167"/>
      <c r="S93" s="170"/>
      <c r="T93" s="170"/>
      <c r="U93" s="170"/>
      <c r="V93" s="34" t="s">
        <v>44</v>
      </c>
      <c r="W93" s="38"/>
      <c r="X93" s="166"/>
      <c r="Y93" s="166"/>
      <c r="Z93" s="166"/>
      <c r="AA93" s="167" t="str">
        <f t="shared" si="6"/>
        <v>Units?</v>
      </c>
      <c r="AB93" s="167"/>
      <c r="AC93" s="166"/>
      <c r="AD93" s="166"/>
      <c r="AE93" s="166"/>
      <c r="AF93" s="166"/>
      <c r="AG93" s="167" t="str">
        <f t="shared" ref="AG93:AG101" si="11">IF($AM$60=0,"Units?",IF($AM$60=1,"ac-ft",IF($AM$60=2,"cu-ft","Error")))</f>
        <v>Units?</v>
      </c>
      <c r="AH93" s="167"/>
      <c r="AL93" s="118">
        <f t="shared" si="7"/>
        <v>1</v>
      </c>
      <c r="AM93" s="118">
        <f t="shared" si="8"/>
        <v>1</v>
      </c>
      <c r="AP93" s="83"/>
    </row>
    <row r="94" spans="2:42" ht="14.55" customHeight="1" x14ac:dyDescent="0.3">
      <c r="C94" s="170"/>
      <c r="D94" s="170"/>
      <c r="E94" s="170"/>
      <c r="F94" s="34" t="s">
        <v>44</v>
      </c>
      <c r="H94" s="166"/>
      <c r="I94" s="166"/>
      <c r="J94" s="166"/>
      <c r="K94" s="167" t="str">
        <f t="shared" si="9"/>
        <v>Units?</v>
      </c>
      <c r="L94" s="167"/>
      <c r="M94" s="166"/>
      <c r="N94" s="166"/>
      <c r="O94" s="166"/>
      <c r="P94" s="166"/>
      <c r="Q94" s="167" t="str">
        <f t="shared" si="10"/>
        <v>Units?</v>
      </c>
      <c r="R94" s="167"/>
      <c r="S94" s="170"/>
      <c r="T94" s="170"/>
      <c r="U94" s="170"/>
      <c r="V94" s="34" t="s">
        <v>44</v>
      </c>
      <c r="W94" s="38"/>
      <c r="X94" s="166"/>
      <c r="Y94" s="166"/>
      <c r="Z94" s="166"/>
      <c r="AA94" s="167" t="str">
        <f t="shared" si="6"/>
        <v>Units?</v>
      </c>
      <c r="AB94" s="167"/>
      <c r="AC94" s="166"/>
      <c r="AD94" s="166"/>
      <c r="AE94" s="166"/>
      <c r="AF94" s="166"/>
      <c r="AG94" s="167" t="str">
        <f t="shared" si="11"/>
        <v>Units?</v>
      </c>
      <c r="AH94" s="167"/>
      <c r="AL94" s="118">
        <f t="shared" si="7"/>
        <v>1</v>
      </c>
      <c r="AM94" s="118">
        <f t="shared" si="8"/>
        <v>1</v>
      </c>
      <c r="AP94" s="83"/>
    </row>
    <row r="95" spans="2:42" ht="14.55" customHeight="1" x14ac:dyDescent="0.3">
      <c r="C95" s="170"/>
      <c r="D95" s="170"/>
      <c r="E95" s="170"/>
      <c r="F95" s="34" t="s">
        <v>44</v>
      </c>
      <c r="H95" s="166"/>
      <c r="I95" s="166"/>
      <c r="J95" s="166"/>
      <c r="K95" s="167" t="str">
        <f t="shared" si="9"/>
        <v>Units?</v>
      </c>
      <c r="L95" s="167"/>
      <c r="M95" s="166"/>
      <c r="N95" s="166"/>
      <c r="O95" s="166"/>
      <c r="P95" s="166"/>
      <c r="Q95" s="167" t="str">
        <f t="shared" si="10"/>
        <v>Units?</v>
      </c>
      <c r="R95" s="167"/>
      <c r="S95" s="170"/>
      <c r="T95" s="170"/>
      <c r="U95" s="170"/>
      <c r="V95" s="34" t="s">
        <v>44</v>
      </c>
      <c r="W95" s="38"/>
      <c r="X95" s="166"/>
      <c r="Y95" s="166"/>
      <c r="Z95" s="166"/>
      <c r="AA95" s="167" t="str">
        <f t="shared" si="6"/>
        <v>Units?</v>
      </c>
      <c r="AB95" s="167"/>
      <c r="AC95" s="166"/>
      <c r="AD95" s="166"/>
      <c r="AE95" s="166"/>
      <c r="AF95" s="166"/>
      <c r="AG95" s="167" t="str">
        <f t="shared" si="11"/>
        <v>Units?</v>
      </c>
      <c r="AH95" s="167"/>
      <c r="AL95" s="118">
        <f t="shared" si="7"/>
        <v>1</v>
      </c>
      <c r="AM95" s="118">
        <f t="shared" si="8"/>
        <v>1</v>
      </c>
    </row>
    <row r="96" spans="2:42" ht="14.55" customHeight="1" x14ac:dyDescent="0.3">
      <c r="C96" s="170"/>
      <c r="D96" s="170"/>
      <c r="E96" s="170"/>
      <c r="F96" s="34" t="s">
        <v>44</v>
      </c>
      <c r="H96" s="166"/>
      <c r="I96" s="166"/>
      <c r="J96" s="166"/>
      <c r="K96" s="167" t="str">
        <f t="shared" si="9"/>
        <v>Units?</v>
      </c>
      <c r="L96" s="167"/>
      <c r="M96" s="166"/>
      <c r="N96" s="166"/>
      <c r="O96" s="166"/>
      <c r="P96" s="166"/>
      <c r="Q96" s="167" t="str">
        <f t="shared" si="10"/>
        <v>Units?</v>
      </c>
      <c r="R96" s="167"/>
      <c r="S96" s="170"/>
      <c r="T96" s="170"/>
      <c r="U96" s="170"/>
      <c r="V96" s="34" t="s">
        <v>44</v>
      </c>
      <c r="W96" s="38"/>
      <c r="X96" s="166"/>
      <c r="Y96" s="166"/>
      <c r="Z96" s="166"/>
      <c r="AA96" s="167" t="str">
        <f t="shared" si="6"/>
        <v>Units?</v>
      </c>
      <c r="AB96" s="167"/>
      <c r="AC96" s="166"/>
      <c r="AD96" s="166"/>
      <c r="AE96" s="166"/>
      <c r="AF96" s="166"/>
      <c r="AG96" s="167" t="str">
        <f t="shared" si="11"/>
        <v>Units?</v>
      </c>
      <c r="AH96" s="167"/>
      <c r="AL96" s="118">
        <f t="shared" si="7"/>
        <v>1</v>
      </c>
      <c r="AM96" s="118">
        <f t="shared" si="8"/>
        <v>1</v>
      </c>
    </row>
    <row r="97" spans="2:43" ht="14.55" customHeight="1" x14ac:dyDescent="0.3">
      <c r="C97" s="170"/>
      <c r="D97" s="170"/>
      <c r="E97" s="170"/>
      <c r="F97" s="34" t="s">
        <v>44</v>
      </c>
      <c r="H97" s="166"/>
      <c r="I97" s="166"/>
      <c r="J97" s="166"/>
      <c r="K97" s="167" t="str">
        <f t="shared" si="9"/>
        <v>Units?</v>
      </c>
      <c r="L97" s="167"/>
      <c r="M97" s="166"/>
      <c r="N97" s="166"/>
      <c r="O97" s="166"/>
      <c r="P97" s="166"/>
      <c r="Q97" s="167" t="str">
        <f t="shared" si="10"/>
        <v>Units?</v>
      </c>
      <c r="R97" s="167"/>
      <c r="S97" s="170"/>
      <c r="T97" s="170"/>
      <c r="U97" s="170"/>
      <c r="V97" s="34" t="s">
        <v>44</v>
      </c>
      <c r="W97" s="38"/>
      <c r="X97" s="166"/>
      <c r="Y97" s="166"/>
      <c r="Z97" s="166"/>
      <c r="AA97" s="167" t="str">
        <f t="shared" si="6"/>
        <v>Units?</v>
      </c>
      <c r="AB97" s="167"/>
      <c r="AC97" s="166"/>
      <c r="AD97" s="166"/>
      <c r="AE97" s="166"/>
      <c r="AF97" s="166"/>
      <c r="AG97" s="167" t="str">
        <f t="shared" si="11"/>
        <v>Units?</v>
      </c>
      <c r="AH97" s="167"/>
      <c r="AL97" s="118">
        <f t="shared" si="7"/>
        <v>1</v>
      </c>
      <c r="AM97" s="118">
        <f t="shared" si="8"/>
        <v>1</v>
      </c>
    </row>
    <row r="98" spans="2:43" ht="14.55" customHeight="1" x14ac:dyDescent="0.3">
      <c r="C98" s="170"/>
      <c r="D98" s="170"/>
      <c r="E98" s="170"/>
      <c r="F98" s="34" t="s">
        <v>44</v>
      </c>
      <c r="H98" s="166"/>
      <c r="I98" s="166"/>
      <c r="J98" s="166"/>
      <c r="K98" s="167" t="str">
        <f t="shared" si="9"/>
        <v>Units?</v>
      </c>
      <c r="L98" s="167"/>
      <c r="M98" s="166"/>
      <c r="N98" s="166"/>
      <c r="O98" s="166"/>
      <c r="P98" s="166"/>
      <c r="Q98" s="167" t="str">
        <f t="shared" si="10"/>
        <v>Units?</v>
      </c>
      <c r="R98" s="167"/>
      <c r="S98" s="170"/>
      <c r="T98" s="170"/>
      <c r="U98" s="170"/>
      <c r="V98" s="34" t="s">
        <v>44</v>
      </c>
      <c r="W98" s="38"/>
      <c r="X98" s="166"/>
      <c r="Y98" s="166"/>
      <c r="Z98" s="166"/>
      <c r="AA98" s="167" t="str">
        <f t="shared" si="6"/>
        <v>Units?</v>
      </c>
      <c r="AB98" s="167"/>
      <c r="AC98" s="166"/>
      <c r="AD98" s="166"/>
      <c r="AE98" s="166"/>
      <c r="AF98" s="166"/>
      <c r="AG98" s="167" t="str">
        <f t="shared" si="11"/>
        <v>Units?</v>
      </c>
      <c r="AH98" s="167"/>
      <c r="AL98" s="118">
        <f t="shared" si="7"/>
        <v>1</v>
      </c>
      <c r="AM98" s="118">
        <f t="shared" si="8"/>
        <v>1</v>
      </c>
    </row>
    <row r="99" spans="2:43" ht="14.55" customHeight="1" x14ac:dyDescent="0.3">
      <c r="C99" s="170"/>
      <c r="D99" s="170"/>
      <c r="E99" s="170"/>
      <c r="F99" s="34" t="s">
        <v>44</v>
      </c>
      <c r="H99" s="166"/>
      <c r="I99" s="166"/>
      <c r="J99" s="166"/>
      <c r="K99" s="167" t="str">
        <f t="shared" si="9"/>
        <v>Units?</v>
      </c>
      <c r="L99" s="167"/>
      <c r="M99" s="166"/>
      <c r="N99" s="166"/>
      <c r="O99" s="166"/>
      <c r="P99" s="166"/>
      <c r="Q99" s="167" t="str">
        <f t="shared" si="10"/>
        <v>Units?</v>
      </c>
      <c r="R99" s="167"/>
      <c r="S99" s="170"/>
      <c r="T99" s="170"/>
      <c r="U99" s="170"/>
      <c r="V99" s="34" t="s">
        <v>44</v>
      </c>
      <c r="W99" s="38"/>
      <c r="X99" s="166"/>
      <c r="Y99" s="166"/>
      <c r="Z99" s="166"/>
      <c r="AA99" s="167" t="str">
        <f t="shared" si="6"/>
        <v>Units?</v>
      </c>
      <c r="AB99" s="167"/>
      <c r="AC99" s="166"/>
      <c r="AD99" s="166"/>
      <c r="AE99" s="166"/>
      <c r="AF99" s="166"/>
      <c r="AG99" s="167" t="str">
        <f t="shared" si="11"/>
        <v>Units?</v>
      </c>
      <c r="AH99" s="167"/>
      <c r="AL99" s="118">
        <f t="shared" si="7"/>
        <v>1</v>
      </c>
      <c r="AM99" s="118">
        <f t="shared" si="8"/>
        <v>1</v>
      </c>
    </row>
    <row r="100" spans="2:43" ht="14.55" customHeight="1" x14ac:dyDescent="0.3">
      <c r="C100" s="170"/>
      <c r="D100" s="170"/>
      <c r="E100" s="170"/>
      <c r="F100" s="34" t="s">
        <v>44</v>
      </c>
      <c r="H100" s="166"/>
      <c r="I100" s="166"/>
      <c r="J100" s="166"/>
      <c r="K100" s="167" t="str">
        <f t="shared" si="9"/>
        <v>Units?</v>
      </c>
      <c r="L100" s="167"/>
      <c r="M100" s="166"/>
      <c r="N100" s="166"/>
      <c r="O100" s="166"/>
      <c r="P100" s="166"/>
      <c r="Q100" s="167" t="str">
        <f t="shared" si="10"/>
        <v>Units?</v>
      </c>
      <c r="R100" s="167"/>
      <c r="S100" s="170"/>
      <c r="T100" s="170"/>
      <c r="U100" s="170"/>
      <c r="V100" s="34" t="s">
        <v>44</v>
      </c>
      <c r="W100" s="38"/>
      <c r="X100" s="166"/>
      <c r="Y100" s="166"/>
      <c r="Z100" s="166"/>
      <c r="AA100" s="167" t="str">
        <f t="shared" si="6"/>
        <v>Units?</v>
      </c>
      <c r="AB100" s="167"/>
      <c r="AC100" s="166"/>
      <c r="AD100" s="166"/>
      <c r="AE100" s="166"/>
      <c r="AF100" s="166"/>
      <c r="AG100" s="167" t="str">
        <f t="shared" si="11"/>
        <v>Units?</v>
      </c>
      <c r="AH100" s="167"/>
      <c r="AL100" s="118">
        <f t="shared" si="7"/>
        <v>1</v>
      </c>
      <c r="AM100" s="118">
        <f t="shared" si="8"/>
        <v>1</v>
      </c>
    </row>
    <row r="101" spans="2:43" ht="14.55" customHeight="1" x14ac:dyDescent="0.3">
      <c r="C101" s="170"/>
      <c r="D101" s="170"/>
      <c r="E101" s="170"/>
      <c r="F101" s="34" t="s">
        <v>44</v>
      </c>
      <c r="H101" s="166"/>
      <c r="I101" s="166"/>
      <c r="J101" s="166"/>
      <c r="K101" s="167" t="str">
        <f t="shared" si="9"/>
        <v>Units?</v>
      </c>
      <c r="L101" s="167"/>
      <c r="M101" s="166"/>
      <c r="N101" s="166"/>
      <c r="O101" s="166"/>
      <c r="P101" s="166"/>
      <c r="Q101" s="167" t="str">
        <f t="shared" si="10"/>
        <v>Units?</v>
      </c>
      <c r="R101" s="167"/>
      <c r="S101" s="170"/>
      <c r="T101" s="170"/>
      <c r="U101" s="170"/>
      <c r="V101" s="34" t="s">
        <v>44</v>
      </c>
      <c r="W101" s="38"/>
      <c r="X101" s="166"/>
      <c r="Y101" s="166"/>
      <c r="Z101" s="166"/>
      <c r="AA101" s="167" t="str">
        <f t="shared" si="6"/>
        <v>Units?</v>
      </c>
      <c r="AB101" s="167"/>
      <c r="AC101" s="166"/>
      <c r="AD101" s="166"/>
      <c r="AE101" s="166"/>
      <c r="AF101" s="166"/>
      <c r="AG101" s="167" t="str">
        <f t="shared" si="11"/>
        <v>Units?</v>
      </c>
      <c r="AH101" s="167"/>
      <c r="AL101" s="118">
        <f t="shared" si="7"/>
        <v>1</v>
      </c>
      <c r="AM101" s="118">
        <f t="shared" si="8"/>
        <v>1</v>
      </c>
    </row>
    <row r="102" spans="2:43" ht="14.55" customHeight="1" x14ac:dyDescent="0.3">
      <c r="G102" s="37" t="s">
        <v>303</v>
      </c>
      <c r="H102" s="180">
        <f>$W$25</f>
        <v>0</v>
      </c>
      <c r="I102" s="180"/>
      <c r="J102" s="180"/>
      <c r="K102" s="167" t="s">
        <v>39</v>
      </c>
      <c r="L102" s="167"/>
      <c r="O102" s="90"/>
      <c r="P102" s="48"/>
      <c r="R102" s="37" t="s">
        <v>304</v>
      </c>
      <c r="S102" s="166"/>
      <c r="T102" s="166"/>
      <c r="U102" s="166"/>
      <c r="V102" s="167" t="s">
        <v>39</v>
      </c>
      <c r="W102" s="167"/>
      <c r="AB102" s="48" t="s">
        <v>305</v>
      </c>
      <c r="AC102" s="168"/>
      <c r="AD102" s="168"/>
      <c r="AE102" s="168"/>
      <c r="AF102" s="168"/>
      <c r="AG102" s="34" t="s">
        <v>44</v>
      </c>
      <c r="AL102" s="83" t="s">
        <v>159</v>
      </c>
      <c r="AM102" s="118" t="str">
        <f>IF(ISBLANK(S102),"",IF(ISTEXT(S102),2,IF(OR(S102=H102,S102&gt;H102),1,2)))</f>
        <v/>
      </c>
      <c r="AN102" s="118">
        <f>IF(ISTEXT(S102),2,1)</f>
        <v>1</v>
      </c>
    </row>
    <row r="103" spans="2:43" ht="15" customHeight="1" x14ac:dyDescent="0.3">
      <c r="AK103" s="38"/>
      <c r="AM103" s="118">
        <f>IF(OR(H102=0,ISBLANK(S102)),2,1)</f>
        <v>2</v>
      </c>
    </row>
    <row r="104" spans="2:43" ht="15" customHeight="1" x14ac:dyDescent="0.3">
      <c r="B104" s="186">
        <f>Tables!$C$13</f>
        <v>45566</v>
      </c>
      <c r="C104" s="186"/>
      <c r="D104" s="186"/>
      <c r="E104" s="186"/>
      <c r="F104" s="186"/>
      <c r="G104" s="186"/>
      <c r="H104" s="186"/>
      <c r="R104" s="185" t="s">
        <v>243</v>
      </c>
      <c r="S104" s="185"/>
      <c r="T104" s="185"/>
      <c r="U104" s="185"/>
      <c r="AK104" s="38"/>
    </row>
    <row r="105" spans="2:43" ht="15" customHeight="1" x14ac:dyDescent="0.3">
      <c r="C105" s="2" t="s">
        <v>1</v>
      </c>
      <c r="D105" s="173">
        <f>IF(ISBLANK($E$13),0,$E$13)</f>
        <v>0</v>
      </c>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46"/>
      <c r="AD105" s="2" t="s">
        <v>21</v>
      </c>
      <c r="AE105" s="174">
        <f>IF(ISBLANK($AE$13),0,$AE$13)</f>
        <v>0</v>
      </c>
      <c r="AF105" s="174"/>
      <c r="AG105" s="174"/>
      <c r="AH105" s="174"/>
      <c r="AI105" s="174"/>
      <c r="AJ105" s="174"/>
    </row>
    <row r="106" spans="2:43" ht="15" customHeight="1" x14ac:dyDescent="0.3">
      <c r="C106" s="47"/>
      <c r="D106" s="47"/>
      <c r="E106" s="47"/>
      <c r="F106" s="47"/>
      <c r="G106" s="47"/>
      <c r="H106" s="47"/>
      <c r="I106" s="47"/>
      <c r="J106" s="2"/>
      <c r="K106" s="2"/>
      <c r="L106" s="2"/>
      <c r="M106" s="2"/>
      <c r="N106" s="47"/>
      <c r="O106" s="46"/>
      <c r="P106" s="46"/>
      <c r="Q106" s="46"/>
      <c r="R106" s="46"/>
      <c r="S106" s="46"/>
      <c r="T106" s="46"/>
      <c r="U106" s="46"/>
      <c r="V106" s="46"/>
      <c r="W106" s="46"/>
      <c r="X106" s="46"/>
      <c r="Y106" s="46"/>
      <c r="Z106" s="46"/>
      <c r="AD106" s="2" t="s">
        <v>35</v>
      </c>
      <c r="AE106" s="187">
        <f>IF(ISBLANK($AE$14),0,$AE$14)</f>
        <v>0</v>
      </c>
      <c r="AF106" s="187"/>
      <c r="AG106" s="187"/>
      <c r="AH106" s="187"/>
      <c r="AI106" s="187"/>
      <c r="AJ106" s="187"/>
    </row>
    <row r="107" spans="2:43" ht="15" customHeight="1" x14ac:dyDescent="0.3">
      <c r="AL107" s="18" t="s">
        <v>78</v>
      </c>
      <c r="AM107" s="18" t="s">
        <v>276</v>
      </c>
      <c r="AN107" s="18" t="s">
        <v>79</v>
      </c>
      <c r="AO107" s="18" t="s">
        <v>417</v>
      </c>
      <c r="AP107" s="18" t="s">
        <v>461</v>
      </c>
      <c r="AQ107" s="18" t="s">
        <v>317</v>
      </c>
    </row>
    <row r="108" spans="2:43" ht="30" customHeight="1" x14ac:dyDescent="0.3">
      <c r="B108" s="1" t="s">
        <v>457</v>
      </c>
      <c r="J108" s="1"/>
      <c r="K108" s="1"/>
      <c r="L108" s="1"/>
      <c r="M108" s="192" t="s">
        <v>63</v>
      </c>
      <c r="N108" s="192"/>
      <c r="O108" s="192"/>
      <c r="P108" s="91"/>
      <c r="Q108" s="192" t="s">
        <v>64</v>
      </c>
      <c r="R108" s="192"/>
      <c r="S108" s="192"/>
      <c r="T108" s="91"/>
      <c r="U108" s="192" t="s">
        <v>65</v>
      </c>
      <c r="V108" s="192"/>
      <c r="W108" s="192"/>
      <c r="X108" s="192" t="s">
        <v>298</v>
      </c>
      <c r="Y108" s="192"/>
      <c r="Z108" s="192"/>
      <c r="AA108" s="192"/>
      <c r="AB108" s="192"/>
      <c r="AC108" s="192" t="s">
        <v>245</v>
      </c>
      <c r="AD108" s="192"/>
      <c r="AE108" s="192"/>
      <c r="AF108" s="91"/>
      <c r="AG108" s="192" t="s">
        <v>66</v>
      </c>
      <c r="AH108" s="192"/>
      <c r="AI108" s="192"/>
      <c r="AJ108" s="192"/>
      <c r="AL108" s="118">
        <f>SUM(AL109:AL112)</f>
        <v>4</v>
      </c>
      <c r="AM108" s="118">
        <f>SUM(AM109:AM114)</f>
        <v>6</v>
      </c>
      <c r="AN108" s="118">
        <f>SUM(AN109:AN114)</f>
        <v>6</v>
      </c>
      <c r="AO108" s="118">
        <f>SUM(AO109:AO114)</f>
        <v>0</v>
      </c>
      <c r="AP108" s="118">
        <f>SUM(AP109:AP114)</f>
        <v>0</v>
      </c>
      <c r="AQ108" s="126">
        <f>SUM(AQ109:AQ114)</f>
        <v>6</v>
      </c>
    </row>
    <row r="109" spans="2:43" ht="15" customHeight="1" x14ac:dyDescent="0.3">
      <c r="E109" s="38"/>
      <c r="F109" s="38"/>
      <c r="G109" s="188">
        <f>Tables!$C$16</f>
        <v>4.24</v>
      </c>
      <c r="H109" s="188"/>
      <c r="K109" s="2" t="str">
        <f>Tables!$A$16</f>
        <v>(2-yr)</v>
      </c>
      <c r="L109" s="2"/>
      <c r="M109" s="165"/>
      <c r="N109" s="165"/>
      <c r="O109" s="165"/>
      <c r="P109" s="6"/>
      <c r="Q109" s="165"/>
      <c r="R109" s="165"/>
      <c r="S109" s="165"/>
      <c r="U109" s="165"/>
      <c r="V109" s="165"/>
      <c r="W109" s="165"/>
      <c r="Y109" s="165"/>
      <c r="Z109" s="165"/>
      <c r="AA109" s="165"/>
      <c r="AC109" s="165"/>
      <c r="AD109" s="165"/>
      <c r="AE109" s="165"/>
      <c r="AG109" s="165"/>
      <c r="AH109" s="165"/>
      <c r="AI109" s="165"/>
      <c r="AL109" s="118">
        <f>IF(ISBLANK(Y109),1,IF(Y109&gt;W$86,1,0))</f>
        <v>1</v>
      </c>
      <c r="AM109" s="118">
        <f t="shared" ref="AM109:AM114" si="12">IF(ISBLANK(AC109),1,IF(AC109&gt;$AM$117,1,0))</f>
        <v>1</v>
      </c>
      <c r="AN109" s="118">
        <f>IF(OR(ISBLANK(AG109),ISBLANK(M109)),1,IF(AG109&gt;M109,1,0))</f>
        <v>1</v>
      </c>
      <c r="AO109" s="118">
        <f t="shared" ref="AO109:AO113" si="13">IF($AN$153=0,0,IF(AG109&gt;=$AN$153,1,0))</f>
        <v>0</v>
      </c>
      <c r="AP109" s="118">
        <f t="shared" ref="AP109:AP113" si="14">IF($AN$155=0,0,IF($AG109&gt;=$AN$155,1,0))</f>
        <v>0</v>
      </c>
      <c r="AQ109" s="126">
        <f>IF(OR(ISBLANK(M109),ISBLANK(AG109)),1,IF(AG109-M109&gt;-0.5,1,0))</f>
        <v>1</v>
      </c>
    </row>
    <row r="110" spans="2:43" ht="15" customHeight="1" x14ac:dyDescent="0.3">
      <c r="E110" s="38"/>
      <c r="F110" s="38"/>
      <c r="G110" s="188">
        <f>Tables!$C$17</f>
        <v>5.3</v>
      </c>
      <c r="H110" s="188"/>
      <c r="K110" s="2" t="str">
        <f>Tables!$A$17</f>
        <v>(5-yr)</v>
      </c>
      <c r="L110" s="2"/>
      <c r="M110" s="165"/>
      <c r="N110" s="165"/>
      <c r="O110" s="165"/>
      <c r="P110" s="6"/>
      <c r="Q110" s="168"/>
      <c r="R110" s="168"/>
      <c r="S110" s="168"/>
      <c r="U110" s="168"/>
      <c r="V110" s="168"/>
      <c r="W110" s="168"/>
      <c r="Y110" s="168"/>
      <c r="Z110" s="168"/>
      <c r="AA110" s="168"/>
      <c r="AC110" s="168"/>
      <c r="AD110" s="168"/>
      <c r="AE110" s="168"/>
      <c r="AG110" s="168"/>
      <c r="AH110" s="168"/>
      <c r="AI110" s="168"/>
      <c r="AL110" s="118">
        <f t="shared" ref="AL110:AL112" si="15">IF(ISBLANK(Y110),1,IF(Y110&gt;W$86,1,0))</f>
        <v>1</v>
      </c>
      <c r="AM110" s="118">
        <f t="shared" si="12"/>
        <v>1</v>
      </c>
      <c r="AN110" s="118">
        <f>IF(OR(ISBLANK(AG110),ISBLANK(M110)),1,IF(AG110&gt;M110,1,0))</f>
        <v>1</v>
      </c>
      <c r="AO110" s="118">
        <f t="shared" si="13"/>
        <v>0</v>
      </c>
      <c r="AP110" s="118">
        <f t="shared" si="14"/>
        <v>0</v>
      </c>
      <c r="AQ110" s="126">
        <f>IF(OR(ISBLANK(M110),ISBLANK(AG110)),1,IF(AG110-M110&gt;-0.5,1,0))</f>
        <v>1</v>
      </c>
    </row>
    <row r="111" spans="2:43" ht="15" customHeight="1" x14ac:dyDescent="0.3">
      <c r="E111" s="38"/>
      <c r="F111" s="38"/>
      <c r="G111" s="188">
        <f>Tables!$C$18</f>
        <v>6.24</v>
      </c>
      <c r="H111" s="188"/>
      <c r="K111" s="2" t="str">
        <f>Tables!$A$18</f>
        <v>(10-yr)</v>
      </c>
      <c r="L111" s="2"/>
      <c r="M111" s="165"/>
      <c r="N111" s="165"/>
      <c r="O111" s="165"/>
      <c r="P111" s="6"/>
      <c r="Q111" s="168"/>
      <c r="R111" s="168"/>
      <c r="S111" s="168"/>
      <c r="U111" s="168"/>
      <c r="V111" s="168"/>
      <c r="W111" s="168"/>
      <c r="Y111" s="168"/>
      <c r="Z111" s="168"/>
      <c r="AA111" s="168"/>
      <c r="AC111" s="168"/>
      <c r="AD111" s="168"/>
      <c r="AE111" s="168"/>
      <c r="AG111" s="168"/>
      <c r="AH111" s="168"/>
      <c r="AI111" s="168"/>
      <c r="AL111" s="118">
        <f t="shared" si="15"/>
        <v>1</v>
      </c>
      <c r="AM111" s="118">
        <f t="shared" si="12"/>
        <v>1</v>
      </c>
      <c r="AN111" s="118">
        <f t="shared" ref="AN111:AN114" si="16">IF(OR(ISBLANK(AG111),ISBLANK(M111)),1,IF(AG111&gt;M111,1,0))</f>
        <v>1</v>
      </c>
      <c r="AO111" s="118">
        <f t="shared" si="13"/>
        <v>0</v>
      </c>
      <c r="AP111" s="118">
        <f t="shared" si="14"/>
        <v>0</v>
      </c>
      <c r="AQ111" s="126">
        <f t="shared" ref="AQ111:AQ114" si="17">IF(OR(ISBLANK(M111),ISBLANK(AG111)),1,IF(AG111-M111&gt;-0.5,1,0))</f>
        <v>1</v>
      </c>
    </row>
    <row r="112" spans="2:43" ht="15" customHeight="1" x14ac:dyDescent="0.3">
      <c r="E112" s="38"/>
      <c r="F112" s="38"/>
      <c r="G112" s="188">
        <f>Tables!$C$19</f>
        <v>7.64</v>
      </c>
      <c r="H112" s="188"/>
      <c r="K112" s="2" t="str">
        <f>Tables!$A$19</f>
        <v>(25-yr)</v>
      </c>
      <c r="L112" s="2"/>
      <c r="M112" s="165"/>
      <c r="N112" s="165"/>
      <c r="O112" s="165"/>
      <c r="P112" s="6"/>
      <c r="Q112" s="168"/>
      <c r="R112" s="168"/>
      <c r="S112" s="168"/>
      <c r="U112" s="168"/>
      <c r="V112" s="168"/>
      <c r="W112" s="168"/>
      <c r="Y112" s="168"/>
      <c r="Z112" s="168"/>
      <c r="AA112" s="168"/>
      <c r="AC112" s="168"/>
      <c r="AD112" s="168"/>
      <c r="AE112" s="168"/>
      <c r="AG112" s="168"/>
      <c r="AH112" s="168"/>
      <c r="AI112" s="168"/>
      <c r="AL112" s="118">
        <f t="shared" si="15"/>
        <v>1</v>
      </c>
      <c r="AM112" s="118">
        <f t="shared" si="12"/>
        <v>1</v>
      </c>
      <c r="AN112" s="118">
        <f t="shared" si="16"/>
        <v>1</v>
      </c>
      <c r="AO112" s="118">
        <f t="shared" si="13"/>
        <v>0</v>
      </c>
      <c r="AP112" s="118">
        <f t="shared" si="14"/>
        <v>0</v>
      </c>
      <c r="AQ112" s="126">
        <f t="shared" si="17"/>
        <v>1</v>
      </c>
    </row>
    <row r="113" spans="2:43" ht="15" customHeight="1" x14ac:dyDescent="0.3">
      <c r="E113" s="38"/>
      <c r="F113" s="38"/>
      <c r="G113" s="188">
        <f>Tables!$C$20</f>
        <v>8.8000000000000007</v>
      </c>
      <c r="H113" s="188"/>
      <c r="K113" s="2" t="str">
        <f>Tables!$A$20</f>
        <v>(50-yr)</v>
      </c>
      <c r="L113" s="2"/>
      <c r="M113" s="165"/>
      <c r="N113" s="165"/>
      <c r="O113" s="165"/>
      <c r="P113" s="6"/>
      <c r="Q113" s="168"/>
      <c r="R113" s="168"/>
      <c r="S113" s="168"/>
      <c r="U113" s="168"/>
      <c r="V113" s="168"/>
      <c r="W113" s="168"/>
      <c r="Y113" s="168"/>
      <c r="Z113" s="168"/>
      <c r="AA113" s="168"/>
      <c r="AC113" s="168"/>
      <c r="AD113" s="168"/>
      <c r="AE113" s="168"/>
      <c r="AG113" s="168"/>
      <c r="AH113" s="168"/>
      <c r="AI113" s="168"/>
      <c r="AL113" s="124">
        <f>IF(OR(ISBLANK($AF$86),ISBLANK(Y113)),0,$AF$86-Y113)</f>
        <v>0</v>
      </c>
      <c r="AM113" s="118">
        <f t="shared" si="12"/>
        <v>1</v>
      </c>
      <c r="AN113" s="118">
        <f t="shared" si="16"/>
        <v>1</v>
      </c>
      <c r="AO113" s="118">
        <f t="shared" si="13"/>
        <v>0</v>
      </c>
      <c r="AP113" s="118">
        <f t="shared" si="14"/>
        <v>0</v>
      </c>
      <c r="AQ113" s="126">
        <f t="shared" si="17"/>
        <v>1</v>
      </c>
    </row>
    <row r="114" spans="2:43" ht="15" customHeight="1" x14ac:dyDescent="0.3">
      <c r="E114" s="38"/>
      <c r="F114" s="38"/>
      <c r="G114" s="188">
        <f>Tables!$C$21</f>
        <v>10</v>
      </c>
      <c r="H114" s="188"/>
      <c r="K114" s="2" t="str">
        <f>Tables!$A$21</f>
        <v>(100-yr)</v>
      </c>
      <c r="L114" s="2"/>
      <c r="M114" s="165"/>
      <c r="N114" s="165"/>
      <c r="O114" s="165"/>
      <c r="P114" s="6"/>
      <c r="Q114" s="168"/>
      <c r="R114" s="168"/>
      <c r="S114" s="168"/>
      <c r="U114" s="168"/>
      <c r="V114" s="168"/>
      <c r="W114" s="168"/>
      <c r="Y114" s="168"/>
      <c r="Z114" s="168"/>
      <c r="AA114" s="168"/>
      <c r="AC114" s="168"/>
      <c r="AD114" s="168"/>
      <c r="AE114" s="168"/>
      <c r="AG114" s="168"/>
      <c r="AH114" s="168"/>
      <c r="AI114" s="168"/>
      <c r="AL114" s="124">
        <f>IF(OR(ISBLANK($AF$86),ISBLANK(Y114)),0,$AF$86-Y114)</f>
        <v>0</v>
      </c>
      <c r="AM114" s="118">
        <f t="shared" si="12"/>
        <v>1</v>
      </c>
      <c r="AN114" s="118">
        <f t="shared" si="16"/>
        <v>1</v>
      </c>
      <c r="AO114" s="118">
        <f>IF($AN$153=0,0,IF($AG114&gt;=$AN$153,1,0))</f>
        <v>0</v>
      </c>
      <c r="AP114" s="118">
        <f>IF($AN$155=0,0,IF($AG114&gt;=$AN$155,1,0))</f>
        <v>0</v>
      </c>
      <c r="AQ114" s="126">
        <f t="shared" si="17"/>
        <v>1</v>
      </c>
    </row>
    <row r="115" spans="2:43" ht="15" customHeight="1" x14ac:dyDescent="0.3">
      <c r="AL115" s="118">
        <f>IF(AND(ISBLANK(AF86),ISBLANK(Y114)),1,2)</f>
        <v>1</v>
      </c>
      <c r="AM115" s="18"/>
      <c r="AN115" s="18"/>
      <c r="AO115" s="18"/>
      <c r="AP115" s="18"/>
      <c r="AQ115" s="18"/>
    </row>
    <row r="116" spans="2:43" ht="15" customHeight="1" x14ac:dyDescent="0.3">
      <c r="B116" s="5" t="s">
        <v>23</v>
      </c>
    </row>
    <row r="117" spans="2:43" ht="15" customHeight="1" x14ac:dyDescent="0.3">
      <c r="B117" s="193"/>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5"/>
      <c r="AL117" s="83" t="s">
        <v>315</v>
      </c>
      <c r="AM117" s="117">
        <f>Tables!C26</f>
        <v>6</v>
      </c>
    </row>
    <row r="118" spans="2:43" ht="15" customHeight="1" x14ac:dyDescent="0.3">
      <c r="B118" s="196"/>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8"/>
    </row>
    <row r="119" spans="2:43" ht="15" customHeight="1" x14ac:dyDescent="0.3">
      <c r="B119" s="196"/>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8"/>
    </row>
    <row r="120" spans="2:43" ht="15" customHeight="1" x14ac:dyDescent="0.3">
      <c r="B120" s="196"/>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8"/>
    </row>
    <row r="121" spans="2:43" ht="15" customHeight="1" x14ac:dyDescent="0.3">
      <c r="B121" s="196"/>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8"/>
    </row>
    <row r="122" spans="2:43" ht="15" customHeight="1" x14ac:dyDescent="0.3">
      <c r="B122" s="196"/>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8"/>
    </row>
    <row r="123" spans="2:43" ht="15" customHeight="1" x14ac:dyDescent="0.3">
      <c r="B123" s="196"/>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8"/>
    </row>
    <row r="124" spans="2:43" ht="15" customHeight="1" x14ac:dyDescent="0.3">
      <c r="B124" s="196"/>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8"/>
    </row>
    <row r="125" spans="2:43" ht="15" customHeight="1" x14ac:dyDescent="0.3">
      <c r="B125" s="196"/>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8"/>
    </row>
    <row r="126" spans="2:43" ht="15" customHeight="1" x14ac:dyDescent="0.3">
      <c r="B126" s="199"/>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1"/>
    </row>
    <row r="127" spans="2:43" ht="4.95" customHeight="1" x14ac:dyDescent="0.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2:43" ht="15" customHeight="1" x14ac:dyDescent="0.3">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2:43" ht="15" customHeight="1" x14ac:dyDescent="0.3">
      <c r="B129" s="1" t="s">
        <v>19</v>
      </c>
      <c r="C129" s="1"/>
      <c r="D129" s="1"/>
      <c r="E129" s="1"/>
      <c r="F129" s="1"/>
      <c r="G129" s="1"/>
      <c r="H129" s="1"/>
      <c r="I129" s="1"/>
    </row>
    <row r="130" spans="2:43" ht="15" customHeight="1" x14ac:dyDescent="0.3">
      <c r="B130" s="111" t="s">
        <v>274</v>
      </c>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row>
    <row r="131" spans="2:43" ht="15" customHeight="1" x14ac:dyDescent="0.3">
      <c r="B131" s="63"/>
      <c r="C131" s="35" t="s">
        <v>114</v>
      </c>
      <c r="D131" s="111" t="str">
        <f>"Is designed in accordance with the latest version of the "&amp;Tables!$C$23&amp;"'s requirements;"</f>
        <v>Is designed in accordance with the latest version of the City's requirements;</v>
      </c>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row>
    <row r="132" spans="2:43" ht="15" customHeight="1" x14ac:dyDescent="0.3">
      <c r="B132" s="63"/>
      <c r="C132" s="35" t="s">
        <v>114</v>
      </c>
      <c r="D132" s="111" t="s">
        <v>272</v>
      </c>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row>
    <row r="133" spans="2:43" ht="15" customHeight="1" x14ac:dyDescent="0.3">
      <c r="B133" s="63"/>
      <c r="C133" s="35" t="s">
        <v>114</v>
      </c>
      <c r="D133" s="111" t="s">
        <v>322</v>
      </c>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row>
    <row r="134" spans="2:43" ht="15" customHeight="1" x14ac:dyDescent="0.3">
      <c r="B134" s="63"/>
      <c r="C134" s="35"/>
      <c r="D134" s="111" t="s">
        <v>280</v>
      </c>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row>
    <row r="135" spans="2:43" ht="15" customHeight="1" x14ac:dyDescent="0.3">
      <c r="B135" s="63"/>
      <c r="C135" s="35" t="s">
        <v>114</v>
      </c>
      <c r="D135" s="111" t="s">
        <v>275</v>
      </c>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row>
    <row r="136" spans="2:43" ht="15" customHeight="1" x14ac:dyDescent="0.3">
      <c r="B136" s="63"/>
      <c r="C136" s="35" t="s">
        <v>114</v>
      </c>
      <c r="D136" s="111" t="s">
        <v>273</v>
      </c>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row>
    <row r="137" spans="2:43" ht="15" customHeight="1" x14ac:dyDescent="0.3">
      <c r="B137" s="63"/>
      <c r="C137" s="35"/>
      <c r="D137" s="111"/>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row>
    <row r="138" spans="2:43" ht="15" customHeight="1" x14ac:dyDescent="0.3">
      <c r="E138" s="2" t="s">
        <v>213</v>
      </c>
      <c r="F138" s="181"/>
      <c r="G138" s="181"/>
      <c r="H138" s="181"/>
      <c r="I138" s="181"/>
      <c r="J138" s="181"/>
      <c r="K138" s="181"/>
      <c r="L138" s="181"/>
      <c r="M138" s="181"/>
      <c r="N138" s="181"/>
      <c r="O138" s="181"/>
      <c r="P138" s="181"/>
      <c r="Q138" s="181"/>
      <c r="R138" s="181"/>
      <c r="S138" s="181"/>
      <c r="T138" s="181"/>
      <c r="U138" s="181"/>
      <c r="V138" s="181"/>
      <c r="W138" s="181"/>
      <c r="X138" s="181"/>
      <c r="Y138" s="181"/>
      <c r="Z138" s="181"/>
      <c r="AC138" s="2" t="s">
        <v>358</v>
      </c>
      <c r="AD138" s="2"/>
      <c r="AE138" s="2"/>
      <c r="AF138" s="2"/>
    </row>
    <row r="139" spans="2:43" ht="15" customHeight="1" x14ac:dyDescent="0.3">
      <c r="E139" s="2" t="s">
        <v>144</v>
      </c>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2:43" ht="15" customHeight="1" x14ac:dyDescent="0.3">
      <c r="E140" s="2" t="s">
        <v>145</v>
      </c>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2:43" ht="15" customHeight="1" x14ac:dyDescent="0.3">
      <c r="E141" s="2" t="s">
        <v>301</v>
      </c>
      <c r="F141" s="182"/>
      <c r="G141" s="182"/>
      <c r="H141" s="182"/>
      <c r="I141" s="182"/>
      <c r="J141" s="182"/>
      <c r="K141" s="182"/>
      <c r="L141" s="182"/>
      <c r="M141" s="74"/>
      <c r="N141" s="74"/>
      <c r="O141" s="132" t="s">
        <v>148</v>
      </c>
      <c r="P141" s="182"/>
      <c r="Q141" s="182"/>
      <c r="R141" s="182"/>
      <c r="S141" s="182"/>
      <c r="T141" s="74"/>
      <c r="U141" s="74"/>
      <c r="V141" s="74"/>
      <c r="W141" s="132" t="s">
        <v>149</v>
      </c>
      <c r="X141" s="179"/>
      <c r="Y141" s="179"/>
      <c r="Z141" s="179"/>
    </row>
    <row r="142" spans="2:43" ht="15" customHeight="1" x14ac:dyDescent="0.3">
      <c r="E142" s="2" t="s">
        <v>146</v>
      </c>
      <c r="F142" s="202"/>
      <c r="G142" s="202"/>
      <c r="H142" s="202"/>
      <c r="I142" s="202"/>
      <c r="J142" s="202"/>
      <c r="K142" s="202"/>
      <c r="L142" s="202"/>
      <c r="M142" s="202"/>
      <c r="N142" s="202"/>
      <c r="O142" s="202"/>
      <c r="P142" s="202"/>
      <c r="Q142" s="202"/>
      <c r="R142" s="202"/>
      <c r="S142" s="202"/>
      <c r="T142" s="202"/>
      <c r="U142" s="202"/>
      <c r="V142" s="202"/>
      <c r="W142" s="202"/>
      <c r="X142" s="202"/>
      <c r="Y142" s="202"/>
      <c r="Z142" s="202"/>
      <c r="AP142" s="205" t="s">
        <v>465</v>
      </c>
      <c r="AQ142" s="206"/>
    </row>
    <row r="143" spans="2:43" ht="15" customHeight="1" x14ac:dyDescent="0.3">
      <c r="E143" s="2" t="s">
        <v>150</v>
      </c>
      <c r="F143" s="203"/>
      <c r="G143" s="203"/>
      <c r="H143" s="203"/>
      <c r="I143" s="203"/>
      <c r="J143" s="203"/>
      <c r="V143" s="63"/>
      <c r="W143" s="63"/>
      <c r="X143" s="63"/>
      <c r="AP143" s="154" t="s">
        <v>463</v>
      </c>
      <c r="AQ143" s="155" t="s">
        <v>160</v>
      </c>
    </row>
    <row r="144" spans="2:43" ht="15" customHeight="1" x14ac:dyDescent="0.3">
      <c r="E144" s="2"/>
      <c r="F144" s="74"/>
      <c r="G144" s="74"/>
      <c r="H144" s="74"/>
      <c r="I144" s="74"/>
      <c r="J144" s="74"/>
      <c r="V144" s="63"/>
      <c r="W144" s="63"/>
      <c r="X144" s="63"/>
      <c r="AP144" s="156">
        <v>2</v>
      </c>
      <c r="AQ144" s="157">
        <f t="shared" ref="AQ144:AQ149" si="18">M109</f>
        <v>0</v>
      </c>
    </row>
    <row r="145" spans="2:43" ht="15" customHeight="1" x14ac:dyDescent="0.3">
      <c r="E145" s="2" t="s">
        <v>214</v>
      </c>
      <c r="F145" s="102"/>
      <c r="G145" s="102"/>
      <c r="H145" s="102"/>
      <c r="I145" s="102"/>
      <c r="J145" s="102"/>
      <c r="K145" s="102"/>
      <c r="L145" s="102"/>
      <c r="M145" s="102"/>
      <c r="N145" s="102"/>
      <c r="O145" s="102"/>
      <c r="P145" s="102"/>
      <c r="Q145" s="102"/>
      <c r="R145" s="102"/>
      <c r="S145" s="102"/>
      <c r="T145" s="102"/>
      <c r="U145" s="102"/>
      <c r="V145" s="63"/>
      <c r="W145" s="63"/>
      <c r="X145" s="63"/>
      <c r="AC145" s="2" t="s">
        <v>208</v>
      </c>
      <c r="AD145" s="178"/>
      <c r="AE145" s="178"/>
      <c r="AF145" s="178"/>
      <c r="AG145" s="178"/>
      <c r="AH145" s="178"/>
      <c r="AP145" s="156">
        <v>5</v>
      </c>
      <c r="AQ145" s="157">
        <f t="shared" si="18"/>
        <v>0</v>
      </c>
    </row>
    <row r="146" spans="2:43" ht="15" customHeight="1" x14ac:dyDescent="0.3">
      <c r="AP146" s="156">
        <v>10</v>
      </c>
      <c r="AQ146" s="157">
        <f t="shared" si="18"/>
        <v>0</v>
      </c>
    </row>
    <row r="147" spans="2:43" ht="15" customHeight="1" x14ac:dyDescent="0.3">
      <c r="B147" s="186">
        <f>Tables!$C$13</f>
        <v>45566</v>
      </c>
      <c r="C147" s="186"/>
      <c r="D147" s="186"/>
      <c r="E147" s="186"/>
      <c r="F147" s="186"/>
      <c r="G147" s="186"/>
      <c r="H147" s="186"/>
      <c r="R147" s="185" t="s">
        <v>242</v>
      </c>
      <c r="S147" s="185"/>
      <c r="T147" s="185"/>
      <c r="U147" s="185"/>
      <c r="AK147" s="38"/>
      <c r="AP147" s="156">
        <v>25</v>
      </c>
      <c r="AQ147" s="157">
        <f t="shared" si="18"/>
        <v>0</v>
      </c>
    </row>
    <row r="148" spans="2:43" ht="15" customHeight="1" x14ac:dyDescent="0.3">
      <c r="B148" s="114"/>
      <c r="C148" s="114"/>
      <c r="D148" s="114"/>
      <c r="E148" s="114"/>
      <c r="F148" s="114"/>
      <c r="G148" s="114"/>
      <c r="H148" s="114"/>
      <c r="R148" s="4"/>
      <c r="S148" s="4"/>
      <c r="T148" s="4"/>
      <c r="U148" s="4"/>
      <c r="AK148" s="38"/>
      <c r="AP148" s="156">
        <v>50</v>
      </c>
      <c r="AQ148" s="157">
        <f t="shared" si="18"/>
        <v>0</v>
      </c>
    </row>
    <row r="149" spans="2:43" ht="15" customHeight="1" x14ac:dyDescent="0.3">
      <c r="C149" s="2" t="s">
        <v>1</v>
      </c>
      <c r="D149" s="173">
        <f>IF(ISBLANK($E$13),0,$E$13)</f>
        <v>0</v>
      </c>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46"/>
      <c r="AD149" s="2" t="s">
        <v>21</v>
      </c>
      <c r="AE149" s="174">
        <f>IF(ISBLANK($AE$13),0,$AE$13)</f>
        <v>0</v>
      </c>
      <c r="AF149" s="174"/>
      <c r="AG149" s="174"/>
      <c r="AH149" s="174"/>
      <c r="AI149" s="174"/>
      <c r="AJ149" s="174"/>
      <c r="AP149" s="158">
        <v>100</v>
      </c>
      <c r="AQ149" s="159">
        <f t="shared" si="18"/>
        <v>0</v>
      </c>
    </row>
    <row r="150" spans="2:43" ht="15" customHeight="1" x14ac:dyDescent="0.3">
      <c r="C150" s="47"/>
      <c r="D150" s="47"/>
      <c r="E150" s="47"/>
      <c r="F150" s="47"/>
      <c r="G150" s="47"/>
      <c r="H150" s="47"/>
      <c r="I150" s="47"/>
      <c r="J150" s="2"/>
      <c r="K150" s="2"/>
      <c r="L150" s="2"/>
      <c r="M150" s="2"/>
      <c r="N150" s="47"/>
      <c r="O150" s="46"/>
      <c r="P150" s="46"/>
      <c r="Q150" s="46"/>
      <c r="R150" s="46"/>
      <c r="S150" s="46"/>
      <c r="T150" s="46"/>
      <c r="U150" s="46"/>
      <c r="V150" s="46"/>
      <c r="W150" s="46"/>
      <c r="X150" s="46"/>
      <c r="Y150" s="46"/>
      <c r="Z150" s="46"/>
      <c r="AD150" s="2" t="s">
        <v>35</v>
      </c>
      <c r="AE150" s="187">
        <f>IF(ISBLANK($AE$14),0,$AE$14)</f>
        <v>0</v>
      </c>
      <c r="AF150" s="187"/>
      <c r="AG150" s="187"/>
      <c r="AH150" s="187"/>
      <c r="AI150" s="187"/>
      <c r="AJ150" s="187"/>
    </row>
    <row r="151" spans="2:43" ht="15" customHeight="1" x14ac:dyDescent="0.3">
      <c r="C151" s="1" t="s">
        <v>419</v>
      </c>
      <c r="AN151" s="18" t="s">
        <v>160</v>
      </c>
      <c r="AO151" s="18" t="s">
        <v>462</v>
      </c>
      <c r="AP151" s="18" t="s">
        <v>463</v>
      </c>
      <c r="AQ151" s="16" t="s">
        <v>464</v>
      </c>
    </row>
    <row r="152" spans="2:43" ht="4.95" customHeight="1" x14ac:dyDescent="0.3"/>
    <row r="153" spans="2:43" ht="15" customHeight="1" x14ac:dyDescent="0.3">
      <c r="B153" s="4"/>
      <c r="C153" s="66"/>
      <c r="D153" s="34" t="s">
        <v>128</v>
      </c>
      <c r="F153" s="66"/>
      <c r="G153" s="34" t="s">
        <v>129</v>
      </c>
      <c r="I153" s="34" t="s">
        <v>435</v>
      </c>
      <c r="Y153" s="34" t="str">
        <f>IF(AO153="Yes","Detain 100-yr event to "&amp;AP153&amp;"-yr discharge.","")</f>
        <v/>
      </c>
      <c r="AL153" s="118">
        <f>IF(AND(ISBLANK(C153),ISBLANK(F153)),1,2)</f>
        <v>1</v>
      </c>
      <c r="AM153" s="118">
        <f>IF(ISBLANK(C153),1,2)</f>
        <v>1</v>
      </c>
      <c r="AN153" s="124">
        <f>IF($AO153="Yes",IF($AM153=2,$AQ153,0),0)</f>
        <v>0</v>
      </c>
      <c r="AO153" s="118" t="str">
        <f>Tables!C29</f>
        <v>No</v>
      </c>
      <c r="AP153" s="125">
        <f>Tables!C30</f>
        <v>0</v>
      </c>
      <c r="AQ153" s="124" t="e">
        <f>VLOOKUP(AP153,$AP$144:$AQ$149,2)</f>
        <v>#N/A</v>
      </c>
    </row>
    <row r="154" spans="2:43" ht="4.95" customHeight="1" x14ac:dyDescent="0.3">
      <c r="B154" s="4"/>
      <c r="C154" s="4"/>
      <c r="D154" s="4"/>
      <c r="E154" s="4"/>
      <c r="F154" s="4"/>
      <c r="G154" s="4"/>
      <c r="H154" s="4"/>
      <c r="I154" s="4"/>
      <c r="J154" s="4"/>
      <c r="K154" s="4"/>
      <c r="L154" s="4"/>
      <c r="M154" s="4"/>
      <c r="N154" s="4"/>
      <c r="O154" s="4"/>
      <c r="P154" s="4"/>
      <c r="Q154" s="4"/>
      <c r="R154" s="4"/>
      <c r="S154" s="4"/>
      <c r="T154" s="4"/>
      <c r="U154" s="4"/>
      <c r="V154" s="4"/>
      <c r="W154" s="4"/>
      <c r="X154" s="4"/>
      <c r="Z154" s="4"/>
      <c r="AA154" s="4"/>
      <c r="AB154" s="4"/>
      <c r="AC154" s="4"/>
      <c r="AD154" s="4"/>
      <c r="AE154" s="4"/>
      <c r="AF154" s="4"/>
      <c r="AG154" s="4"/>
      <c r="AH154" s="4"/>
      <c r="AI154" s="4"/>
      <c r="AJ154" s="4"/>
    </row>
    <row r="155" spans="2:43" ht="15" customHeight="1" x14ac:dyDescent="0.3">
      <c r="B155" s="4"/>
      <c r="C155" s="66"/>
      <c r="D155" s="34" t="s">
        <v>128</v>
      </c>
      <c r="F155" s="66"/>
      <c r="G155" s="34" t="s">
        <v>129</v>
      </c>
      <c r="I155" s="34" t="s">
        <v>436</v>
      </c>
      <c r="Y155" s="34" t="str">
        <f>IF(AO155="Yes","Detain 100-yr event to "&amp;AP155&amp;"-yr discharge.","")</f>
        <v/>
      </c>
      <c r="AL155" s="118">
        <f>IF(AND(ISBLANK(C155),ISBLANK(F155)),1,2)</f>
        <v>1</v>
      </c>
      <c r="AM155" s="118">
        <f>IF(ISBLANK(C155),1,2)</f>
        <v>1</v>
      </c>
      <c r="AN155" s="124">
        <f>IF($AO155="Yes",IF($AM155=2,$AQ155,0),0)</f>
        <v>0</v>
      </c>
      <c r="AO155" s="118" t="str">
        <f>Tables!C31</f>
        <v>No</v>
      </c>
      <c r="AP155" s="125">
        <f>Tables!C32</f>
        <v>0</v>
      </c>
      <c r="AQ155" s="124" t="e">
        <f>VLOOKUP(AP155,$AP$144:$AQ$149,2)</f>
        <v>#N/A</v>
      </c>
    </row>
    <row r="156" spans="2:43" ht="4.95" customHeight="1" x14ac:dyDescent="0.3">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row>
    <row r="157" spans="2:43" ht="15" customHeight="1" x14ac:dyDescent="0.3">
      <c r="C157" s="66"/>
      <c r="D157" s="34" t="s">
        <v>128</v>
      </c>
      <c r="F157" s="66"/>
      <c r="G157" s="34" t="s">
        <v>129</v>
      </c>
      <c r="I157" s="34" t="s">
        <v>432</v>
      </c>
      <c r="AL157" s="118">
        <f>IF(AND(ISBLANK(C157),ISBLANK(F157)),1,2)</f>
        <v>1</v>
      </c>
      <c r="AM157" s="118">
        <f>IF(ISBLANK(F157),1,2)</f>
        <v>1</v>
      </c>
    </row>
    <row r="158" spans="2:43" ht="4.95" customHeight="1" x14ac:dyDescent="0.3"/>
    <row r="159" spans="2:43" ht="15" customHeight="1" x14ac:dyDescent="0.3">
      <c r="C159" s="66"/>
      <c r="D159" s="34" t="s">
        <v>128</v>
      </c>
      <c r="F159" s="66"/>
      <c r="G159" s="34" t="s">
        <v>129</v>
      </c>
      <c r="I159" s="34" t="s">
        <v>439</v>
      </c>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118">
        <f>IF(AND(ISBLANK(C159),ISBLANK(F159)),1,2)</f>
        <v>1</v>
      </c>
      <c r="AM159" s="118">
        <f>IF(ISBLANK(C159),1,2)</f>
        <v>1</v>
      </c>
    </row>
    <row r="160" spans="2:43" ht="4.95" customHeight="1" x14ac:dyDescent="0.3">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row>
    <row r="161" spans="3:43" ht="15" customHeight="1" x14ac:dyDescent="0.3">
      <c r="C161" s="66"/>
      <c r="D161" s="34" t="s">
        <v>128</v>
      </c>
      <c r="F161" s="66"/>
      <c r="G161" s="34" t="s">
        <v>129</v>
      </c>
      <c r="H161" s="4"/>
      <c r="I161" s="34" t="s">
        <v>418</v>
      </c>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118">
        <f>IF(ISBLANK(C161),1,2)</f>
        <v>1</v>
      </c>
      <c r="AM161" s="118">
        <f>IF(ISBLANK(F161),1,2)</f>
        <v>1</v>
      </c>
      <c r="AN161" s="118">
        <f>SUM(AL161:AM161)</f>
        <v>2</v>
      </c>
    </row>
    <row r="162" spans="3:43" ht="4.95" customHeight="1" x14ac:dyDescent="0.3"/>
    <row r="163" spans="3:43" ht="15" customHeight="1" x14ac:dyDescent="0.3">
      <c r="C163" s="34" t="s">
        <v>448</v>
      </c>
    </row>
    <row r="164" spans="3:43" ht="4.95" customHeight="1" x14ac:dyDescent="0.3"/>
    <row r="165" spans="3:43" ht="15" customHeight="1" x14ac:dyDescent="0.3">
      <c r="C165" s="66"/>
      <c r="D165" s="34" t="s">
        <v>128</v>
      </c>
      <c r="F165" s="66"/>
      <c r="G165" s="34" t="s">
        <v>129</v>
      </c>
      <c r="I165" s="34" t="s">
        <v>420</v>
      </c>
      <c r="J165" s="4"/>
      <c r="K165" s="4"/>
      <c r="L165" s="4"/>
      <c r="AE165" s="2" t="s">
        <v>421</v>
      </c>
      <c r="AF165" s="66"/>
      <c r="AG165" s="34" t="s">
        <v>128</v>
      </c>
      <c r="AI165" s="66"/>
      <c r="AJ165" s="34" t="s">
        <v>129</v>
      </c>
      <c r="AL165" s="118">
        <f>IF(AND(ISBLANK(C165),ISBLANK(F165)),1,2)</f>
        <v>1</v>
      </c>
      <c r="AM165" s="118">
        <f>IF(ISBLANK(C165),1,2)</f>
        <v>1</v>
      </c>
      <c r="AN165" s="118">
        <f>IF(AND(LEN(C165)&gt;0,LEN(F165)&gt;0),4,1)</f>
        <v>1</v>
      </c>
      <c r="AO165" s="118">
        <f>IF(ISBLANK(AF165),1,2)</f>
        <v>1</v>
      </c>
      <c r="AP165" s="118">
        <f>IF(ISBLANK(AI165),1,2)</f>
        <v>1</v>
      </c>
      <c r="AQ165" s="118">
        <f>SUM(AO165:AP165)</f>
        <v>2</v>
      </c>
    </row>
    <row r="166" spans="3:43" ht="4.95" customHeight="1" x14ac:dyDescent="0.3"/>
    <row r="167" spans="3:43" ht="15" customHeight="1" x14ac:dyDescent="0.3">
      <c r="C167" s="66"/>
      <c r="D167" s="34" t="s">
        <v>128</v>
      </c>
      <c r="F167" s="66"/>
      <c r="G167" s="34" t="s">
        <v>129</v>
      </c>
      <c r="I167" s="34" t="s">
        <v>422</v>
      </c>
      <c r="J167" s="4"/>
      <c r="K167" s="4"/>
      <c r="L167" s="4"/>
      <c r="AE167" s="2" t="s">
        <v>421</v>
      </c>
      <c r="AF167" s="66"/>
      <c r="AG167" s="34" t="s">
        <v>128</v>
      </c>
      <c r="AI167" s="66"/>
      <c r="AJ167" s="34" t="s">
        <v>129</v>
      </c>
      <c r="AL167" s="118">
        <f>IF(AND(ISBLANK(C167),ISBLANK(F167)),1,2)</f>
        <v>1</v>
      </c>
      <c r="AM167" s="118">
        <f>IF(ISBLANK(C167),1,2)</f>
        <v>1</v>
      </c>
      <c r="AN167" s="118">
        <f>IF(AND(LEN(C167)&gt;0,LEN(F167)&gt;0),4,1)</f>
        <v>1</v>
      </c>
      <c r="AO167" s="118">
        <f>IF(ISBLANK(AF167),1,2)</f>
        <v>1</v>
      </c>
      <c r="AP167" s="118">
        <f>IF(ISBLANK(AI167),1,2)</f>
        <v>1</v>
      </c>
      <c r="AQ167" s="118">
        <f>SUM(AO167:AP167)</f>
        <v>2</v>
      </c>
    </row>
    <row r="168" spans="3:43" ht="4.95" customHeight="1" x14ac:dyDescent="0.3"/>
    <row r="169" spans="3:43" ht="15" customHeight="1" x14ac:dyDescent="0.3">
      <c r="C169" s="66"/>
      <c r="D169" s="34" t="s">
        <v>128</v>
      </c>
      <c r="F169" s="66"/>
      <c r="G169" s="34" t="s">
        <v>129</v>
      </c>
      <c r="I169" s="34" t="s">
        <v>423</v>
      </c>
      <c r="J169" s="4"/>
      <c r="K169" s="4"/>
      <c r="L169" s="4"/>
      <c r="AE169" s="2" t="s">
        <v>421</v>
      </c>
      <c r="AF169" s="66"/>
      <c r="AG169" s="34" t="s">
        <v>128</v>
      </c>
      <c r="AI169" s="66"/>
      <c r="AJ169" s="34" t="s">
        <v>129</v>
      </c>
      <c r="AL169" s="118">
        <f>IF(AND(ISBLANK(C169),ISBLANK(F169)),1,2)</f>
        <v>1</v>
      </c>
      <c r="AM169" s="118">
        <f>IF(ISBLANK(C169),1,2)</f>
        <v>1</v>
      </c>
      <c r="AN169" s="118">
        <f>IF(AND(LEN(C169)&gt;0,LEN(F169)&gt;0),4,1)</f>
        <v>1</v>
      </c>
      <c r="AO169" s="118">
        <f>IF(ISBLANK(AF169),1,2)</f>
        <v>1</v>
      </c>
      <c r="AP169" s="118">
        <f>IF(ISBLANK(AI169),1,2)</f>
        <v>1</v>
      </c>
      <c r="AQ169" s="118">
        <f>SUM(AO169:AP169)</f>
        <v>2</v>
      </c>
    </row>
    <row r="170" spans="3:43" ht="4.95" customHeight="1" x14ac:dyDescent="0.3"/>
    <row r="171" spans="3:43" ht="15" customHeight="1" x14ac:dyDescent="0.3">
      <c r="C171" s="66"/>
      <c r="D171" s="34" t="s">
        <v>128</v>
      </c>
      <c r="F171" s="66"/>
      <c r="G171" s="34" t="s">
        <v>129</v>
      </c>
      <c r="I171" s="34" t="s">
        <v>424</v>
      </c>
      <c r="J171" s="4"/>
      <c r="K171" s="4"/>
      <c r="L171" s="4"/>
      <c r="AE171" s="2" t="s">
        <v>421</v>
      </c>
      <c r="AF171" s="66"/>
      <c r="AG171" s="34" t="s">
        <v>128</v>
      </c>
      <c r="AI171" s="66"/>
      <c r="AJ171" s="34" t="s">
        <v>129</v>
      </c>
      <c r="AL171" s="118">
        <f>IF(AND(ISBLANK(C171),ISBLANK(F171)),1,2)</f>
        <v>1</v>
      </c>
      <c r="AM171" s="118">
        <f>IF(ISBLANK(C171),1,2)</f>
        <v>1</v>
      </c>
      <c r="AN171" s="118">
        <f>IF(AND(LEN(C171)&gt;0,LEN(F171)&gt;0),4,1)</f>
        <v>1</v>
      </c>
      <c r="AO171" s="118">
        <f>IF(ISBLANK(AF171),1,2)</f>
        <v>1</v>
      </c>
      <c r="AP171" s="118">
        <f>IF(ISBLANK(AI171),1,2)</f>
        <v>1</v>
      </c>
      <c r="AQ171" s="118">
        <f>SUM(AO171:AP171)</f>
        <v>2</v>
      </c>
    </row>
    <row r="172" spans="3:43" ht="4.95" customHeight="1" x14ac:dyDescent="0.3"/>
    <row r="173" spans="3:43" ht="15" customHeight="1" x14ac:dyDescent="0.3">
      <c r="C173" s="66"/>
      <c r="D173" s="34" t="s">
        <v>128</v>
      </c>
      <c r="F173" s="66"/>
      <c r="G173" s="34" t="s">
        <v>129</v>
      </c>
      <c r="I173" s="34" t="s">
        <v>425</v>
      </c>
      <c r="J173" s="4"/>
      <c r="K173" s="4"/>
      <c r="L173" s="4"/>
      <c r="AE173" s="2" t="s">
        <v>421</v>
      </c>
      <c r="AF173" s="66"/>
      <c r="AG173" s="34" t="s">
        <v>128</v>
      </c>
      <c r="AI173" s="66"/>
      <c r="AJ173" s="34" t="s">
        <v>129</v>
      </c>
      <c r="AL173" s="118">
        <f>IF(AND(ISBLANK(C173),ISBLANK(F173)),1,2)</f>
        <v>1</v>
      </c>
      <c r="AM173" s="118">
        <f>IF(ISBLANK(C173),1,2)</f>
        <v>1</v>
      </c>
      <c r="AN173" s="118">
        <f>IF(AND(LEN(C173)&gt;0,LEN(F173)&gt;0),4,1)</f>
        <v>1</v>
      </c>
      <c r="AO173" s="118">
        <f>IF(ISBLANK(AF173),1,2)</f>
        <v>1</v>
      </c>
      <c r="AP173" s="118">
        <f>IF(ISBLANK(AI173),1,2)</f>
        <v>1</v>
      </c>
      <c r="AQ173" s="118">
        <f>SUM(AO173:AP173)</f>
        <v>2</v>
      </c>
    </row>
    <row r="174" spans="3:43" ht="4.95" customHeight="1" x14ac:dyDescent="0.3"/>
    <row r="175" spans="3:43" ht="15" customHeight="1" x14ac:dyDescent="0.3">
      <c r="C175" s="66"/>
      <c r="D175" s="34" t="s">
        <v>128</v>
      </c>
      <c r="F175" s="66"/>
      <c r="G175" s="34" t="s">
        <v>129</v>
      </c>
      <c r="I175" s="34" t="s">
        <v>426</v>
      </c>
      <c r="J175" s="4"/>
      <c r="K175" s="4"/>
      <c r="L175" s="4"/>
      <c r="AE175" s="2" t="s">
        <v>421</v>
      </c>
      <c r="AF175" s="66"/>
      <c r="AG175" s="34" t="s">
        <v>128</v>
      </c>
      <c r="AI175" s="66"/>
      <c r="AJ175" s="34" t="s">
        <v>129</v>
      </c>
      <c r="AL175" s="118">
        <f>IF(AND(ISBLANK(C175),ISBLANK(F175)),1,2)</f>
        <v>1</v>
      </c>
      <c r="AM175" s="118">
        <f>IF(ISBLANK(C175),1,2)</f>
        <v>1</v>
      </c>
      <c r="AN175" s="118">
        <f>IF(AND(LEN(C175)&gt;0,LEN(F175)&gt;0),4,1)</f>
        <v>1</v>
      </c>
      <c r="AO175" s="118">
        <f>IF(ISBLANK(AF175),1,2)</f>
        <v>1</v>
      </c>
      <c r="AP175" s="118">
        <f>IF(ISBLANK(AI175),1,2)</f>
        <v>1</v>
      </c>
      <c r="AQ175" s="118">
        <f>SUM(AO175:AP175)</f>
        <v>2</v>
      </c>
    </row>
    <row r="176" spans="3:43" ht="4.95" customHeight="1" x14ac:dyDescent="0.3"/>
    <row r="177" spans="2:43" ht="15" customHeight="1" x14ac:dyDescent="0.3">
      <c r="C177" s="66"/>
      <c r="D177" s="34" t="s">
        <v>128</v>
      </c>
      <c r="F177" s="66"/>
      <c r="G177" s="34" t="s">
        <v>129</v>
      </c>
      <c r="I177" s="34" t="s">
        <v>427</v>
      </c>
      <c r="J177" s="4"/>
      <c r="K177" s="4"/>
      <c r="L177" s="4"/>
      <c r="AE177" s="2" t="s">
        <v>421</v>
      </c>
      <c r="AF177" s="66"/>
      <c r="AG177" s="34" t="s">
        <v>128</v>
      </c>
      <c r="AI177" s="66"/>
      <c r="AJ177" s="34" t="s">
        <v>129</v>
      </c>
      <c r="AL177" s="118">
        <f>IF(AND(ISBLANK(C177),ISBLANK(F177)),1,2)</f>
        <v>1</v>
      </c>
      <c r="AM177" s="118">
        <f>IF(ISBLANK(C177),1,2)</f>
        <v>1</v>
      </c>
      <c r="AN177" s="118">
        <f>IF(AND(LEN(C177)&gt;0,LEN(F177)&gt;0),4,1)</f>
        <v>1</v>
      </c>
      <c r="AO177" s="118">
        <f>IF(ISBLANK(AF177),1,2)</f>
        <v>1</v>
      </c>
      <c r="AP177" s="118">
        <f>IF(ISBLANK(AI177),1,2)</f>
        <v>1</v>
      </c>
      <c r="AQ177" s="118">
        <f>SUM(AO177:AP177)</f>
        <v>2</v>
      </c>
    </row>
    <row r="178" spans="2:43" ht="4.95" customHeight="1" x14ac:dyDescent="0.3"/>
    <row r="179" spans="2:43" ht="15" customHeight="1" x14ac:dyDescent="0.3">
      <c r="C179" s="66"/>
      <c r="D179" s="34" t="s">
        <v>128</v>
      </c>
      <c r="F179" s="66"/>
      <c r="G179" s="34" t="s">
        <v>129</v>
      </c>
      <c r="I179" s="34" t="s">
        <v>428</v>
      </c>
      <c r="J179" s="4"/>
      <c r="K179" s="4"/>
      <c r="L179" s="4"/>
      <c r="AE179" s="2" t="s">
        <v>421</v>
      </c>
      <c r="AF179" s="66"/>
      <c r="AG179" s="34" t="s">
        <v>128</v>
      </c>
      <c r="AI179" s="66"/>
      <c r="AJ179" s="34" t="s">
        <v>129</v>
      </c>
      <c r="AL179" s="118">
        <f>IF(AND(ISBLANK(C179),ISBLANK(F179)),1,2)</f>
        <v>1</v>
      </c>
      <c r="AM179" s="118">
        <f>IF(ISBLANK(C179),1,2)</f>
        <v>1</v>
      </c>
      <c r="AN179" s="118">
        <f>IF(AND(LEN(C179)&gt;0,LEN(F179)&gt;0),4,1)</f>
        <v>1</v>
      </c>
      <c r="AO179" s="118">
        <f>IF(ISBLANK(AF179),1,2)</f>
        <v>1</v>
      </c>
      <c r="AP179" s="118">
        <f>IF(ISBLANK(AI179),1,2)</f>
        <v>1</v>
      </c>
      <c r="AQ179" s="118">
        <f>SUM(AO179:AP179)</f>
        <v>2</v>
      </c>
    </row>
    <row r="180" spans="2:43" ht="4.95" customHeight="1" x14ac:dyDescent="0.3"/>
    <row r="181" spans="2:43" ht="15" customHeight="1" x14ac:dyDescent="0.3">
      <c r="C181" s="66"/>
      <c r="D181" s="34" t="s">
        <v>128</v>
      </c>
      <c r="F181" s="66"/>
      <c r="G181" s="34" t="s">
        <v>129</v>
      </c>
      <c r="I181" s="34" t="s">
        <v>429</v>
      </c>
      <c r="J181" s="4"/>
      <c r="K181" s="4"/>
      <c r="L181" s="4"/>
      <c r="AE181" s="2" t="s">
        <v>421</v>
      </c>
      <c r="AF181" s="66"/>
      <c r="AG181" s="34" t="s">
        <v>128</v>
      </c>
      <c r="AI181" s="66"/>
      <c r="AJ181" s="34" t="s">
        <v>129</v>
      </c>
      <c r="AL181" s="118">
        <f>IF(AND(ISBLANK(C181),ISBLANK(F181)),1,2)</f>
        <v>1</v>
      </c>
      <c r="AM181" s="118">
        <f>IF(ISBLANK(C181),1,2)</f>
        <v>1</v>
      </c>
      <c r="AN181" s="118">
        <f>IF(AND(LEN(C181)&gt;0,LEN(F181)&gt;0),4,1)</f>
        <v>1</v>
      </c>
      <c r="AO181" s="118">
        <f>IF(ISBLANK(AF181),1,2)</f>
        <v>1</v>
      </c>
      <c r="AP181" s="118">
        <f>IF(ISBLANK(AI181),1,2)</f>
        <v>1</v>
      </c>
      <c r="AQ181" s="118">
        <f>SUM(AO181:AP181)</f>
        <v>2</v>
      </c>
    </row>
    <row r="182" spans="2:43" ht="4.95" customHeight="1" x14ac:dyDescent="0.3"/>
    <row r="183" spans="2:43" ht="15" customHeight="1" x14ac:dyDescent="0.3">
      <c r="C183" s="66"/>
      <c r="D183" s="34" t="s">
        <v>128</v>
      </c>
      <c r="F183" s="66"/>
      <c r="G183" s="34" t="s">
        <v>129</v>
      </c>
      <c r="I183" s="34" t="s">
        <v>430</v>
      </c>
      <c r="J183" s="4"/>
      <c r="K183" s="4"/>
      <c r="L183" s="181"/>
      <c r="M183" s="181"/>
      <c r="N183" s="181"/>
      <c r="O183" s="181"/>
      <c r="P183" s="181"/>
      <c r="Q183" s="181"/>
      <c r="R183" s="181"/>
      <c r="S183" s="181"/>
      <c r="T183" s="181"/>
      <c r="AE183" s="2" t="s">
        <v>421</v>
      </c>
      <c r="AF183" s="66"/>
      <c r="AG183" s="34" t="s">
        <v>128</v>
      </c>
      <c r="AI183" s="66"/>
      <c r="AJ183" s="34" t="s">
        <v>129</v>
      </c>
      <c r="AL183" s="118">
        <f>IF(AND(ISBLANK(C183),ISBLANK(F183)),1,2)</f>
        <v>1</v>
      </c>
      <c r="AM183" s="118">
        <f>IF(ISBLANK(C183),1,2)</f>
        <v>1</v>
      </c>
      <c r="AN183" s="118">
        <f>IF(AND(LEN(C183)&gt;0,LEN(F183)&gt;0),4,1)</f>
        <v>1</v>
      </c>
      <c r="AO183" s="118">
        <f>IF(ISBLANK(AF183),1,2)</f>
        <v>1</v>
      </c>
      <c r="AP183" s="118">
        <f>IF(ISBLANK(AI183),1,2)</f>
        <v>1</v>
      </c>
      <c r="AQ183" s="118">
        <f>SUM(AO183:AP183)</f>
        <v>2</v>
      </c>
    </row>
    <row r="184" spans="2:43" ht="15" customHeight="1" x14ac:dyDescent="0.3"/>
    <row r="185" spans="2:43" ht="15" customHeight="1" x14ac:dyDescent="0.3">
      <c r="B185" s="51" t="s">
        <v>88</v>
      </c>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3"/>
      <c r="AL185" s="16" t="s">
        <v>306</v>
      </c>
    </row>
    <row r="186" spans="2:43" ht="15" customHeight="1" x14ac:dyDescent="0.3">
      <c r="B186" s="54"/>
      <c r="C186" s="9"/>
      <c r="D186" s="9"/>
      <c r="E186" s="9"/>
      <c r="F186" s="9"/>
      <c r="G186" s="9"/>
      <c r="H186" s="9"/>
      <c r="I186" s="9"/>
      <c r="J186" s="55" t="s">
        <v>89</v>
      </c>
      <c r="K186" s="55"/>
      <c r="L186" s="56" t="s">
        <v>232</v>
      </c>
      <c r="M186" s="55"/>
      <c r="N186" s="55"/>
      <c r="O186" s="9"/>
      <c r="P186" s="9"/>
      <c r="Q186" s="9"/>
      <c r="R186" s="9"/>
      <c r="S186" s="9"/>
      <c r="T186" s="9"/>
      <c r="U186" s="9"/>
      <c r="V186" s="9"/>
      <c r="W186" s="9"/>
      <c r="X186" s="9"/>
      <c r="Y186" s="9"/>
      <c r="Z186" s="9"/>
      <c r="AA186" s="9"/>
      <c r="AB186" s="9"/>
      <c r="AC186" s="9"/>
      <c r="AD186" s="9"/>
      <c r="AE186" s="9"/>
      <c r="AF186" s="9"/>
      <c r="AG186" s="9"/>
      <c r="AH186" s="9"/>
      <c r="AI186" s="9"/>
      <c r="AJ186" s="57"/>
      <c r="AL186" s="118">
        <f>SUM(AL187:AL200)</f>
        <v>11</v>
      </c>
    </row>
    <row r="187" spans="2:43" ht="15" customHeight="1" x14ac:dyDescent="0.3">
      <c r="B187" s="54"/>
      <c r="C187" s="9"/>
      <c r="D187" s="9"/>
      <c r="E187" s="9"/>
      <c r="F187" s="9"/>
      <c r="G187" s="9"/>
      <c r="H187" s="9"/>
      <c r="I187" s="9"/>
      <c r="J187" s="10" t="s">
        <v>90</v>
      </c>
      <c r="K187" s="10"/>
      <c r="L187" s="9" t="str">
        <f>IF(AND(AL32&lt;6,AM32=6),Tables!G2,IF(AND(AL32=6,AM32=6),"",Tables!G2))</f>
        <v>Pre Total not completed</v>
      </c>
      <c r="M187" s="10"/>
      <c r="N187" s="10"/>
      <c r="O187" s="9"/>
      <c r="P187" s="9"/>
      <c r="Q187" s="9"/>
      <c r="R187" s="9"/>
      <c r="S187" s="9"/>
      <c r="T187" s="9"/>
      <c r="U187" s="9"/>
      <c r="V187" s="9"/>
      <c r="W187" s="9"/>
      <c r="X187" s="9"/>
      <c r="Y187" s="9"/>
      <c r="Z187" s="9"/>
      <c r="AA187" s="9"/>
      <c r="AB187" s="9"/>
      <c r="AC187" s="9"/>
      <c r="AD187" s="9"/>
      <c r="AE187" s="9"/>
      <c r="AF187" s="9"/>
      <c r="AG187" s="9"/>
      <c r="AH187" s="9"/>
      <c r="AI187" s="9"/>
      <c r="AJ187" s="57"/>
      <c r="AL187" s="118">
        <f>IF(L187="",0,1)</f>
        <v>1</v>
      </c>
    </row>
    <row r="188" spans="2:43" ht="15" customHeight="1" x14ac:dyDescent="0.3">
      <c r="B188" s="54"/>
      <c r="C188" s="9"/>
      <c r="D188" s="9"/>
      <c r="E188" s="9"/>
      <c r="F188" s="9"/>
      <c r="G188" s="9"/>
      <c r="H188" s="9"/>
      <c r="I188" s="9"/>
      <c r="J188" s="10" t="s">
        <v>91</v>
      </c>
      <c r="K188" s="10"/>
      <c r="L188" s="9" t="str">
        <f>IF(AND(AL45&lt;6,AM45=6),Tables!G3,IF(AND(AL45=6,AM45=6),"",Tables!G3))</f>
        <v>Post Total not completed</v>
      </c>
      <c r="M188" s="10"/>
      <c r="N188" s="10"/>
      <c r="O188" s="9"/>
      <c r="P188" s="9"/>
      <c r="Q188" s="9"/>
      <c r="R188" s="9"/>
      <c r="S188" s="9"/>
      <c r="T188" s="9"/>
      <c r="U188" s="9"/>
      <c r="V188" s="9"/>
      <c r="W188" s="9"/>
      <c r="X188" s="9"/>
      <c r="Y188" s="9"/>
      <c r="Z188" s="9"/>
      <c r="AA188" s="9"/>
      <c r="AB188" s="9"/>
      <c r="AC188" s="9"/>
      <c r="AD188" s="9"/>
      <c r="AE188" s="9"/>
      <c r="AF188" s="9"/>
      <c r="AG188" s="9"/>
      <c r="AH188" s="9"/>
      <c r="AI188" s="9"/>
      <c r="AJ188" s="57"/>
      <c r="AL188" s="118">
        <f t="shared" ref="AL188:AL200" si="19">IF(L188="",0,1)</f>
        <v>1</v>
      </c>
    </row>
    <row r="189" spans="2:43" ht="15" customHeight="1" x14ac:dyDescent="0.3">
      <c r="B189" s="54"/>
      <c r="C189" s="9"/>
      <c r="D189" s="9"/>
      <c r="E189" s="9"/>
      <c r="F189" s="9"/>
      <c r="G189" s="9"/>
      <c r="H189" s="9"/>
      <c r="I189" s="9"/>
      <c r="J189" s="10"/>
      <c r="K189" s="10"/>
      <c r="L189" s="9" t="str">
        <f>IF(AND(AL53=1,AN53=1),Tables!G14,IF(OR(AM53=2,AO53=2),Tables!G14,""))</f>
        <v>Have post-construction CNs been adjusted to account for mass grading?</v>
      </c>
      <c r="M189" s="10"/>
      <c r="N189" s="10"/>
      <c r="O189" s="9"/>
      <c r="P189" s="9"/>
      <c r="Q189" s="9"/>
      <c r="R189" s="9"/>
      <c r="S189" s="9"/>
      <c r="T189" s="9"/>
      <c r="U189" s="9"/>
      <c r="V189" s="9"/>
      <c r="W189" s="9"/>
      <c r="X189" s="9"/>
      <c r="Y189" s="9"/>
      <c r="Z189" s="9"/>
      <c r="AA189" s="9"/>
      <c r="AB189" s="9"/>
      <c r="AC189" s="9"/>
      <c r="AD189" s="9"/>
      <c r="AE189" s="9"/>
      <c r="AF189" s="9"/>
      <c r="AG189" s="9"/>
      <c r="AH189" s="9"/>
      <c r="AI189" s="9"/>
      <c r="AJ189" s="57"/>
      <c r="AL189" s="118">
        <f t="shared" si="19"/>
        <v>1</v>
      </c>
    </row>
    <row r="190" spans="2:43" ht="15" customHeight="1" x14ac:dyDescent="0.3">
      <c r="B190" s="54"/>
      <c r="C190" s="9"/>
      <c r="D190" s="9"/>
      <c r="E190" s="9"/>
      <c r="F190" s="9"/>
      <c r="G190" s="9"/>
      <c r="H190" s="9"/>
      <c r="I190" s="9"/>
      <c r="J190" s="10" t="s">
        <v>92</v>
      </c>
      <c r="K190" s="10"/>
      <c r="L190" s="9" t="str">
        <f>IF(AM84&lt;6,Tables!G4,"")</f>
        <v>Emergency Spillway Section not completed</v>
      </c>
      <c r="M190" s="10"/>
      <c r="N190" s="10"/>
      <c r="O190" s="9"/>
      <c r="P190" s="9"/>
      <c r="Q190" s="9"/>
      <c r="R190" s="9"/>
      <c r="S190" s="9"/>
      <c r="T190" s="9"/>
      <c r="U190" s="9"/>
      <c r="V190" s="9"/>
      <c r="W190" s="9"/>
      <c r="X190" s="9"/>
      <c r="Y190" s="9"/>
      <c r="Z190" s="9"/>
      <c r="AA190" s="9"/>
      <c r="AB190" s="9"/>
      <c r="AC190" s="9"/>
      <c r="AD190" s="9"/>
      <c r="AE190" s="9"/>
      <c r="AF190" s="9"/>
      <c r="AG190" s="9"/>
      <c r="AH190" s="9"/>
      <c r="AI190" s="9"/>
      <c r="AJ190" s="57"/>
      <c r="AL190" s="118">
        <f t="shared" si="19"/>
        <v>1</v>
      </c>
    </row>
    <row r="191" spans="2:43" ht="15" customHeight="1" x14ac:dyDescent="0.3">
      <c r="B191" s="54"/>
      <c r="C191" s="9"/>
      <c r="D191" s="9"/>
      <c r="E191" s="9"/>
      <c r="F191" s="9"/>
      <c r="G191" s="9"/>
      <c r="H191" s="9"/>
      <c r="I191" s="9"/>
      <c r="J191" s="10" t="s">
        <v>299</v>
      </c>
      <c r="K191" s="10"/>
      <c r="L191" s="9" t="str">
        <f>IF(OR(AL113&lt;1,AL114&lt;1),Tables!G11,"")</f>
        <v>Freeboard  &lt;  1.0 ft</v>
      </c>
      <c r="M191" s="10"/>
      <c r="N191" s="10"/>
      <c r="O191" s="9"/>
      <c r="P191" s="9"/>
      <c r="Q191" s="9"/>
      <c r="R191" s="9"/>
      <c r="S191" s="9"/>
      <c r="T191" s="9"/>
      <c r="U191" s="9"/>
      <c r="V191" s="9"/>
      <c r="W191" s="9"/>
      <c r="X191" s="9"/>
      <c r="Y191" s="9"/>
      <c r="Z191" s="9"/>
      <c r="AA191" s="9"/>
      <c r="AB191" s="9"/>
      <c r="AC191" s="9"/>
      <c r="AD191" s="9"/>
      <c r="AE191" s="9"/>
      <c r="AF191" s="9"/>
      <c r="AG191" s="9"/>
      <c r="AH191" s="9"/>
      <c r="AI191" s="9"/>
      <c r="AJ191" s="57"/>
      <c r="AL191" s="118">
        <f t="shared" si="19"/>
        <v>1</v>
      </c>
    </row>
    <row r="192" spans="2:43" ht="15" customHeight="1" x14ac:dyDescent="0.3">
      <c r="B192" s="54"/>
      <c r="C192" s="9"/>
      <c r="D192" s="9"/>
      <c r="E192" s="9"/>
      <c r="F192" s="9"/>
      <c r="G192" s="9"/>
      <c r="H192" s="9"/>
      <c r="I192" s="9"/>
      <c r="J192" s="10" t="s">
        <v>115</v>
      </c>
      <c r="K192" s="10"/>
      <c r="L192" s="9" t="str">
        <f>IF(AO90&lt;2,Tables!G8,"")</f>
        <v>Latitude and/or Longitude not provided</v>
      </c>
      <c r="M192" s="10"/>
      <c r="N192" s="10"/>
      <c r="O192" s="9"/>
      <c r="P192" s="9"/>
      <c r="Q192" s="9"/>
      <c r="R192" s="9"/>
      <c r="S192" s="9"/>
      <c r="T192" s="9"/>
      <c r="U192" s="9"/>
      <c r="V192" s="9"/>
      <c r="W192" s="9"/>
      <c r="X192" s="9"/>
      <c r="Y192" s="9"/>
      <c r="Z192" s="9"/>
      <c r="AA192" s="9"/>
      <c r="AB192" s="9"/>
      <c r="AC192" s="9"/>
      <c r="AD192" s="9"/>
      <c r="AE192" s="9"/>
      <c r="AF192" s="9"/>
      <c r="AG192" s="9"/>
      <c r="AH192" s="9"/>
      <c r="AI192" s="9"/>
      <c r="AJ192" s="57"/>
      <c r="AL192" s="118">
        <f t="shared" si="19"/>
        <v>1</v>
      </c>
    </row>
    <row r="193" spans="2:38" ht="15" customHeight="1" x14ac:dyDescent="0.3">
      <c r="B193" s="54"/>
      <c r="C193" s="9"/>
      <c r="D193" s="9"/>
      <c r="E193" s="9"/>
      <c r="F193" s="9"/>
      <c r="G193" s="9"/>
      <c r="H193" s="9"/>
      <c r="I193" s="9"/>
      <c r="J193" s="10" t="s">
        <v>157</v>
      </c>
      <c r="K193" s="10"/>
      <c r="L193" s="9" t="str">
        <f>IF(AM103=2,Tables!G9,IF(AM102=1,"",Tables!G9))</f>
        <v>WQv Required &gt; WQv Provided</v>
      </c>
      <c r="M193" s="10"/>
      <c r="N193" s="10"/>
      <c r="O193" s="9"/>
      <c r="P193" s="9"/>
      <c r="Q193" s="9"/>
      <c r="R193" s="9"/>
      <c r="S193" s="9"/>
      <c r="T193" s="9"/>
      <c r="U193" s="9"/>
      <c r="V193" s="9"/>
      <c r="W193" s="9"/>
      <c r="X193" s="9"/>
      <c r="Y193" s="9"/>
      <c r="Z193" s="9"/>
      <c r="AA193" s="9"/>
      <c r="AB193" s="9"/>
      <c r="AC193" s="9"/>
      <c r="AD193" s="9"/>
      <c r="AE193" s="9"/>
      <c r="AF193" s="9"/>
      <c r="AG193" s="9"/>
      <c r="AH193" s="9"/>
      <c r="AI193" s="9"/>
      <c r="AJ193" s="57"/>
      <c r="AL193" s="118">
        <f t="shared" si="19"/>
        <v>1</v>
      </c>
    </row>
    <row r="194" spans="2:38" ht="15" customHeight="1" x14ac:dyDescent="0.3">
      <c r="B194" s="54"/>
      <c r="C194" s="9"/>
      <c r="D194" s="9"/>
      <c r="E194" s="9"/>
      <c r="F194" s="9"/>
      <c r="G194" s="9"/>
      <c r="H194" s="9"/>
      <c r="I194" s="9"/>
      <c r="J194" s="130" t="s">
        <v>93</v>
      </c>
      <c r="K194" s="10"/>
      <c r="L194" s="9"/>
      <c r="M194" s="10"/>
      <c r="N194" s="10"/>
      <c r="O194" s="9"/>
      <c r="P194" s="9"/>
      <c r="Q194" s="9"/>
      <c r="R194" s="9"/>
      <c r="S194" s="9"/>
      <c r="T194" s="9"/>
      <c r="U194" s="9"/>
      <c r="V194" s="9"/>
      <c r="W194" s="9"/>
      <c r="X194" s="9"/>
      <c r="Y194" s="9"/>
      <c r="Z194" s="9"/>
      <c r="AA194" s="9"/>
      <c r="AB194" s="9"/>
      <c r="AC194" s="9"/>
      <c r="AD194" s="9"/>
      <c r="AE194" s="9"/>
      <c r="AF194" s="9"/>
      <c r="AG194" s="9"/>
      <c r="AH194" s="9"/>
      <c r="AI194" s="9"/>
      <c r="AJ194" s="57"/>
      <c r="AL194" s="118">
        <f t="shared" si="19"/>
        <v>0</v>
      </c>
    </row>
    <row r="195" spans="2:38" ht="15" customHeight="1" x14ac:dyDescent="0.3">
      <c r="B195" s="54"/>
      <c r="C195" s="9"/>
      <c r="D195" s="9"/>
      <c r="E195" s="9"/>
      <c r="F195" s="9"/>
      <c r="G195" s="9"/>
      <c r="H195" s="9"/>
      <c r="I195" s="9"/>
      <c r="J195" s="10" t="s">
        <v>87</v>
      </c>
      <c r="K195" s="10"/>
      <c r="L195" s="9" t="str">
        <f>IF(AL108&gt;0,Tables!G7,"")</f>
        <v>Max Stage for 2, 5, 10, and/or 25-year storm  &gt; Emergency Spillway Crest Elevation</v>
      </c>
      <c r="M195" s="10"/>
      <c r="N195" s="10"/>
      <c r="O195" s="9"/>
      <c r="P195" s="9"/>
      <c r="Q195" s="9"/>
      <c r="R195" s="9"/>
      <c r="S195" s="9"/>
      <c r="T195" s="9"/>
      <c r="U195" s="9"/>
      <c r="V195" s="9"/>
      <c r="W195" s="9"/>
      <c r="X195" s="9"/>
      <c r="Y195" s="9"/>
      <c r="Z195" s="9"/>
      <c r="AA195" s="9"/>
      <c r="AB195" s="9"/>
      <c r="AC195" s="9"/>
      <c r="AD195" s="9"/>
      <c r="AE195" s="9"/>
      <c r="AF195" s="9"/>
      <c r="AG195" s="9"/>
      <c r="AH195" s="9"/>
      <c r="AI195" s="9"/>
      <c r="AJ195" s="57"/>
      <c r="AL195" s="118">
        <f t="shared" si="19"/>
        <v>1</v>
      </c>
    </row>
    <row r="196" spans="2:38" ht="15" customHeight="1" x14ac:dyDescent="0.3">
      <c r="B196" s="54"/>
      <c r="C196" s="9"/>
      <c r="D196" s="9"/>
      <c r="E196" s="9"/>
      <c r="F196" s="9"/>
      <c r="G196" s="9"/>
      <c r="H196" s="9"/>
      <c r="I196" s="9"/>
      <c r="J196" s="10" t="s">
        <v>246</v>
      </c>
      <c r="K196" s="10"/>
      <c r="L196" s="9" t="str">
        <f>IF(AM108&gt;0,Tables!G6,"")</f>
        <v>Velocity &gt; 6 ft/s</v>
      </c>
      <c r="M196" s="10"/>
      <c r="N196" s="10"/>
      <c r="O196" s="9"/>
      <c r="P196" s="9"/>
      <c r="Q196" s="9"/>
      <c r="R196" s="9"/>
      <c r="S196" s="9"/>
      <c r="T196" s="9"/>
      <c r="U196" s="9"/>
      <c r="V196" s="9"/>
      <c r="W196" s="9"/>
      <c r="X196" s="9"/>
      <c r="Y196" s="9"/>
      <c r="Z196" s="9"/>
      <c r="AA196" s="9"/>
      <c r="AB196" s="9"/>
      <c r="AC196" s="9"/>
      <c r="AD196" s="9"/>
      <c r="AE196" s="9"/>
      <c r="AF196" s="9"/>
      <c r="AG196" s="9"/>
      <c r="AH196" s="9"/>
      <c r="AI196" s="9"/>
      <c r="AJ196" s="57"/>
      <c r="AL196" s="118">
        <f t="shared" si="19"/>
        <v>1</v>
      </c>
    </row>
    <row r="197" spans="2:38" ht="15" customHeight="1" x14ac:dyDescent="0.3">
      <c r="B197" s="54"/>
      <c r="C197" s="9"/>
      <c r="D197" s="9"/>
      <c r="E197" s="9"/>
      <c r="F197" s="9"/>
      <c r="G197" s="9"/>
      <c r="H197" s="9"/>
      <c r="I197" s="9"/>
      <c r="J197" s="10" t="s">
        <v>94</v>
      </c>
      <c r="K197" s="10"/>
      <c r="L197" s="9" t="str">
        <f>IF(OR(AN108&gt;0,AO108&gt;0),Tables!G5,"")</f>
        <v>Total Post Q &gt; Pre Q</v>
      </c>
      <c r="M197" s="10"/>
      <c r="N197" s="10"/>
      <c r="O197" s="9"/>
      <c r="P197" s="9"/>
      <c r="Q197" s="9"/>
      <c r="R197" s="9"/>
      <c r="S197" s="9"/>
      <c r="T197" s="9"/>
      <c r="U197" s="9"/>
      <c r="V197" s="9"/>
      <c r="W197" s="9"/>
      <c r="X197" s="9"/>
      <c r="Y197" s="9"/>
      <c r="Z197" s="9"/>
      <c r="AA197" s="9"/>
      <c r="AB197" s="9"/>
      <c r="AC197" s="9"/>
      <c r="AD197" s="9"/>
      <c r="AE197" s="9"/>
      <c r="AF197" s="9"/>
      <c r="AG197" s="9"/>
      <c r="AH197" s="9"/>
      <c r="AI197" s="9"/>
      <c r="AJ197" s="57"/>
      <c r="AL197" s="118">
        <f t="shared" si="19"/>
        <v>1</v>
      </c>
    </row>
    <row r="198" spans="2:38" ht="15" customHeight="1" x14ac:dyDescent="0.3">
      <c r="B198" s="54"/>
      <c r="C198" s="9"/>
      <c r="D198" s="9"/>
      <c r="E198" s="9"/>
      <c r="F198" s="9"/>
      <c r="G198" s="9"/>
      <c r="H198" s="9"/>
      <c r="I198" s="9"/>
      <c r="J198" s="10"/>
      <c r="K198" s="10"/>
      <c r="L198" s="9" t="str">
        <f>IF($AQ$108&gt;0,Tables!$G$12,"")</f>
        <v>Total Post Q is &lt; -0.50 ft3/s of Pre Q</v>
      </c>
      <c r="M198" s="10"/>
      <c r="N198" s="10"/>
      <c r="O198" s="9"/>
      <c r="P198" s="9"/>
      <c r="Q198" s="9"/>
      <c r="R198" s="9"/>
      <c r="S198" s="9"/>
      <c r="T198" s="9"/>
      <c r="U198" s="9"/>
      <c r="V198" s="9"/>
      <c r="W198" s="9"/>
      <c r="X198" s="9"/>
      <c r="Y198" s="9"/>
      <c r="Z198" s="9"/>
      <c r="AA198" s="9"/>
      <c r="AB198" s="9"/>
      <c r="AC198" s="9"/>
      <c r="AD198" s="9"/>
      <c r="AE198" s="9"/>
      <c r="AF198" s="9"/>
      <c r="AG198" s="9"/>
      <c r="AH198" s="9"/>
      <c r="AI198" s="9"/>
      <c r="AJ198" s="57"/>
      <c r="AL198" s="118">
        <f t="shared" si="19"/>
        <v>1</v>
      </c>
    </row>
    <row r="199" spans="2:38" ht="15" customHeight="1" x14ac:dyDescent="0.3">
      <c r="B199" s="54"/>
      <c r="C199" s="9"/>
      <c r="D199" s="9"/>
      <c r="E199" s="9"/>
      <c r="F199" s="9"/>
      <c r="G199" s="9"/>
      <c r="H199" s="9"/>
      <c r="I199" s="9"/>
      <c r="J199" s="10"/>
      <c r="K199" s="10"/>
      <c r="L199" s="9" t="str">
        <f>IF(AO153="Yes",IF(AND(ISBLANK(C153),ISBLANK(F153)),Tables!$G15,IF($AO$108&gt;0,Tables!$G15,"")),"")</f>
        <v/>
      </c>
      <c r="M199" s="10"/>
      <c r="N199" s="10"/>
      <c r="O199" s="9"/>
      <c r="P199" s="9"/>
      <c r="Q199" s="9"/>
      <c r="R199" s="9"/>
      <c r="S199" s="9"/>
      <c r="T199" s="9"/>
      <c r="U199" s="9"/>
      <c r="V199" s="9"/>
      <c r="W199" s="9"/>
      <c r="X199" s="9"/>
      <c r="Y199" s="9"/>
      <c r="Z199" s="9"/>
      <c r="AA199" s="9"/>
      <c r="AB199" s="9"/>
      <c r="AC199" s="9"/>
      <c r="AD199" s="9"/>
      <c r="AE199" s="9"/>
      <c r="AF199" s="9"/>
      <c r="AG199" s="9"/>
      <c r="AH199" s="9"/>
      <c r="AI199" s="9"/>
      <c r="AJ199" s="57"/>
      <c r="AL199" s="118">
        <f t="shared" si="19"/>
        <v>0</v>
      </c>
    </row>
    <row r="200" spans="2:38" ht="15" customHeight="1" x14ac:dyDescent="0.3">
      <c r="B200" s="58"/>
      <c r="C200" s="59"/>
      <c r="D200" s="59"/>
      <c r="E200" s="59"/>
      <c r="F200" s="59"/>
      <c r="G200" s="59"/>
      <c r="H200" s="59"/>
      <c r="I200" s="59"/>
      <c r="J200" s="60"/>
      <c r="K200" s="60"/>
      <c r="L200" s="59" t="str">
        <f>IF(AO155="Yes",IF(AND(ISBLANK(C155),ISBLANK(F155)),Tables!$G16,IF($AP$108&gt;0,Tables!$G16,"")),"")</f>
        <v/>
      </c>
      <c r="M200" s="60"/>
      <c r="N200" s="60"/>
      <c r="O200" s="59"/>
      <c r="P200" s="59"/>
      <c r="Q200" s="59"/>
      <c r="R200" s="59"/>
      <c r="S200" s="59"/>
      <c r="T200" s="59"/>
      <c r="U200" s="59"/>
      <c r="V200" s="59"/>
      <c r="W200" s="59"/>
      <c r="X200" s="59"/>
      <c r="Y200" s="59"/>
      <c r="Z200" s="59"/>
      <c r="AA200" s="59"/>
      <c r="AB200" s="59"/>
      <c r="AC200" s="59"/>
      <c r="AD200" s="59"/>
      <c r="AE200" s="59"/>
      <c r="AF200" s="59"/>
      <c r="AG200" s="59"/>
      <c r="AH200" s="59"/>
      <c r="AI200" s="59"/>
      <c r="AJ200" s="61"/>
      <c r="AL200" s="118">
        <f t="shared" si="19"/>
        <v>0</v>
      </c>
    </row>
    <row r="201" spans="2:38" ht="15" customHeight="1" x14ac:dyDescent="0.3">
      <c r="AK201" s="38"/>
    </row>
    <row r="202" spans="2:38" ht="15" customHeight="1" x14ac:dyDescent="0.3">
      <c r="B202" s="186">
        <f>Tables!$C$13</f>
        <v>45566</v>
      </c>
      <c r="C202" s="186"/>
      <c r="D202" s="186"/>
      <c r="E202" s="186"/>
      <c r="F202" s="186"/>
      <c r="G202" s="186"/>
      <c r="H202" s="186"/>
      <c r="R202" s="185" t="s">
        <v>241</v>
      </c>
      <c r="S202" s="185"/>
      <c r="T202" s="185"/>
      <c r="U202" s="185"/>
      <c r="AK202" s="38"/>
    </row>
    <row r="203" spans="2:38" ht="15" customHeight="1" x14ac:dyDescent="0.3">
      <c r="B203" s="114"/>
      <c r="C203" s="114"/>
      <c r="D203" s="114"/>
      <c r="E203" s="114"/>
      <c r="F203" s="114"/>
      <c r="G203" s="114"/>
      <c r="H203" s="114"/>
      <c r="R203" s="4"/>
      <c r="S203" s="4"/>
      <c r="T203" s="4"/>
      <c r="U203" s="4"/>
      <c r="AK203" s="38"/>
    </row>
    <row r="204" spans="2:38" ht="15" customHeight="1" x14ac:dyDescent="0.3"/>
    <row r="205" spans="2:38" ht="15" customHeight="1" x14ac:dyDescent="0.3"/>
    <row r="206" spans="2:38" ht="15" customHeight="1" x14ac:dyDescent="0.3"/>
    <row r="207" spans="2:38" ht="15" customHeight="1" x14ac:dyDescent="0.3"/>
    <row r="208" spans="2:38" ht="15" customHeight="1" x14ac:dyDescent="0.3"/>
    <row r="209" ht="15" customHeight="1" x14ac:dyDescent="0.3"/>
    <row r="210" ht="15" customHeight="1" x14ac:dyDescent="0.3"/>
  </sheetData>
  <sheetProtection algorithmName="SHA-512" hashValue="TWIaae7/2iwL8RSecLTiTBE2Crt1AuTrfZHD1yTAuVqAQfAqe0z9/ttmr8EwQFbIs1lPlNh0D3JwWTirhnT/Zg==" saltValue="W1cv8KfJAh3YM6FVL+DwAQ==" spinCount="100000" sheet="1" objects="1" scenarios="1" selectLockedCells="1"/>
  <mergeCells count="405">
    <mergeCell ref="AP142:AQ142"/>
    <mergeCell ref="AA99:AB99"/>
    <mergeCell ref="AC93:AF93"/>
    <mergeCell ref="AC94:AF94"/>
    <mergeCell ref="AC95:AF95"/>
    <mergeCell ref="AC96:AF96"/>
    <mergeCell ref="AC92:AF92"/>
    <mergeCell ref="U77:W77"/>
    <mergeCell ref="U78:W78"/>
    <mergeCell ref="U79:W79"/>
    <mergeCell ref="U80:W80"/>
    <mergeCell ref="AA92:AB92"/>
    <mergeCell ref="W88:Z88"/>
    <mergeCell ref="S96:U96"/>
    <mergeCell ref="S97:U97"/>
    <mergeCell ref="S98:U98"/>
    <mergeCell ref="X96:Z96"/>
    <mergeCell ref="X97:Z97"/>
    <mergeCell ref="X98:Z98"/>
    <mergeCell ref="S93:U93"/>
    <mergeCell ref="S94:U94"/>
    <mergeCell ref="S95:U95"/>
    <mergeCell ref="X93:Z93"/>
    <mergeCell ref="X94:Z94"/>
    <mergeCell ref="AG92:AH92"/>
    <mergeCell ref="D33:E38"/>
    <mergeCell ref="D46:E51"/>
    <mergeCell ref="AA93:AB93"/>
    <mergeCell ref="AA94:AB94"/>
    <mergeCell ref="AA95:AB95"/>
    <mergeCell ref="AA96:AB96"/>
    <mergeCell ref="AA97:AB97"/>
    <mergeCell ref="AG99:AH99"/>
    <mergeCell ref="Q93:R93"/>
    <mergeCell ref="Q94:R94"/>
    <mergeCell ref="AC98:AF98"/>
    <mergeCell ref="AC99:AF99"/>
    <mergeCell ref="AC97:AF97"/>
    <mergeCell ref="X95:Z95"/>
    <mergeCell ref="AA98:AB98"/>
    <mergeCell ref="H93:J93"/>
    <mergeCell ref="H94:J94"/>
    <mergeCell ref="H95:J95"/>
    <mergeCell ref="H96:J96"/>
    <mergeCell ref="F85:I85"/>
    <mergeCell ref="F86:I86"/>
    <mergeCell ref="C98:E98"/>
    <mergeCell ref="H98:J98"/>
    <mergeCell ref="AD145:AH145"/>
    <mergeCell ref="AC109:AE109"/>
    <mergeCell ref="AC110:AE110"/>
    <mergeCell ref="AC111:AE111"/>
    <mergeCell ref="AC112:AE112"/>
    <mergeCell ref="AC113:AE113"/>
    <mergeCell ref="U108:W108"/>
    <mergeCell ref="U109:W109"/>
    <mergeCell ref="U110:W110"/>
    <mergeCell ref="U111:W111"/>
    <mergeCell ref="U112:W112"/>
    <mergeCell ref="AG114:AI114"/>
    <mergeCell ref="AC114:AE114"/>
    <mergeCell ref="AG110:AI110"/>
    <mergeCell ref="AG111:AI111"/>
    <mergeCell ref="AG112:AI112"/>
    <mergeCell ref="Y109:AA109"/>
    <mergeCell ref="Y110:AA110"/>
    <mergeCell ref="Y113:AA113"/>
    <mergeCell ref="AE106:AJ106"/>
    <mergeCell ref="D105:Y105"/>
    <mergeCell ref="AG108:AJ108"/>
    <mergeCell ref="AG93:AH93"/>
    <mergeCell ref="AG94:AH94"/>
    <mergeCell ref="AG95:AH95"/>
    <mergeCell ref="AG96:AH96"/>
    <mergeCell ref="AG97:AH97"/>
    <mergeCell ref="AG98:AH98"/>
    <mergeCell ref="H97:J97"/>
    <mergeCell ref="AC108:AE108"/>
    <mergeCell ref="AC100:AF100"/>
    <mergeCell ref="AC101:AF101"/>
    <mergeCell ref="M101:P101"/>
    <mergeCell ref="S99:U99"/>
    <mergeCell ref="S100:U100"/>
    <mergeCell ref="S101:U101"/>
    <mergeCell ref="X99:Z99"/>
    <mergeCell ref="Q100:R100"/>
    <mergeCell ref="Q101:R101"/>
    <mergeCell ref="B104:H104"/>
    <mergeCell ref="R104:U104"/>
    <mergeCell ref="Q96:R96"/>
    <mergeCell ref="Q97:R97"/>
    <mergeCell ref="H99:J99"/>
    <mergeCell ref="H100:J100"/>
    <mergeCell ref="H101:J101"/>
    <mergeCell ref="H102:J102"/>
    <mergeCell ref="B202:H202"/>
    <mergeCell ref="R202:U202"/>
    <mergeCell ref="F138:Z138"/>
    <mergeCell ref="F139:Z139"/>
    <mergeCell ref="F140:Z140"/>
    <mergeCell ref="F141:L141"/>
    <mergeCell ref="P141:S141"/>
    <mergeCell ref="X141:Z141"/>
    <mergeCell ref="F142:Z142"/>
    <mergeCell ref="L183:T183"/>
    <mergeCell ref="B147:H147"/>
    <mergeCell ref="R147:U147"/>
    <mergeCell ref="F143:J143"/>
    <mergeCell ref="M113:O113"/>
    <mergeCell ref="M114:O114"/>
    <mergeCell ref="G109:H109"/>
    <mergeCell ref="G110:H110"/>
    <mergeCell ref="G111:H111"/>
    <mergeCell ref="Q114:S114"/>
    <mergeCell ref="X108:AB108"/>
    <mergeCell ref="AE150:AJ150"/>
    <mergeCell ref="K82:M82"/>
    <mergeCell ref="P71:R71"/>
    <mergeCell ref="P73:R73"/>
    <mergeCell ref="P75:R75"/>
    <mergeCell ref="P77:R77"/>
    <mergeCell ref="K77:M77"/>
    <mergeCell ref="K78:M78"/>
    <mergeCell ref="K79:M79"/>
    <mergeCell ref="K80:M80"/>
    <mergeCell ref="K81:M81"/>
    <mergeCell ref="P78:R78"/>
    <mergeCell ref="U82:W82"/>
    <mergeCell ref="P82:R82"/>
    <mergeCell ref="Y114:AA114"/>
    <mergeCell ref="Q109:S109"/>
    <mergeCell ref="Q110:S110"/>
    <mergeCell ref="Q111:S111"/>
    <mergeCell ref="B117:AJ126"/>
    <mergeCell ref="AG113:AI113"/>
    <mergeCell ref="C100:E100"/>
    <mergeCell ref="AG109:AI109"/>
    <mergeCell ref="G112:H112"/>
    <mergeCell ref="G113:H113"/>
    <mergeCell ref="Q108:S108"/>
    <mergeCell ref="M108:O108"/>
    <mergeCell ref="M109:O109"/>
    <mergeCell ref="M110:O110"/>
    <mergeCell ref="M111:O111"/>
    <mergeCell ref="Y111:AA111"/>
    <mergeCell ref="Y112:AA112"/>
    <mergeCell ref="G114:H114"/>
    <mergeCell ref="U113:W113"/>
    <mergeCell ref="U114:W114"/>
    <mergeCell ref="M112:O112"/>
    <mergeCell ref="Q112:S112"/>
    <mergeCell ref="Q113:S113"/>
    <mergeCell ref="AA100:AB100"/>
    <mergeCell ref="AA101:AB101"/>
    <mergeCell ref="AC102:AF102"/>
    <mergeCell ref="K100:L100"/>
    <mergeCell ref="K101:L101"/>
    <mergeCell ref="K102:L102"/>
    <mergeCell ref="U59:X59"/>
    <mergeCell ref="U60:X60"/>
    <mergeCell ref="U61:X61"/>
    <mergeCell ref="U63:X63"/>
    <mergeCell ref="M98:P98"/>
    <mergeCell ref="M99:P99"/>
    <mergeCell ref="M100:P100"/>
    <mergeCell ref="U81:W81"/>
    <mergeCell ref="P81:R81"/>
    <mergeCell ref="M92:P92"/>
    <mergeCell ref="M93:P93"/>
    <mergeCell ref="M94:P94"/>
    <mergeCell ref="M95:P95"/>
    <mergeCell ref="M96:P96"/>
    <mergeCell ref="M97:P97"/>
    <mergeCell ref="X101:Z101"/>
    <mergeCell ref="O85:Q85"/>
    <mergeCell ref="O86:Q86"/>
    <mergeCell ref="AE105:AJ105"/>
    <mergeCell ref="C93:E93"/>
    <mergeCell ref="C94:E94"/>
    <mergeCell ref="C95:E95"/>
    <mergeCell ref="C96:E96"/>
    <mergeCell ref="C97:E97"/>
    <mergeCell ref="C92:E92"/>
    <mergeCell ref="H92:J92"/>
    <mergeCell ref="S92:U92"/>
    <mergeCell ref="C99:E99"/>
    <mergeCell ref="K94:L94"/>
    <mergeCell ref="X92:Z92"/>
    <mergeCell ref="C101:E101"/>
    <mergeCell ref="Q98:R98"/>
    <mergeCell ref="Q99:R99"/>
    <mergeCell ref="AG100:AH100"/>
    <mergeCell ref="AG101:AH101"/>
    <mergeCell ref="V102:W102"/>
    <mergeCell ref="K95:L95"/>
    <mergeCell ref="K96:L96"/>
    <mergeCell ref="K97:L97"/>
    <mergeCell ref="K98:L98"/>
    <mergeCell ref="K99:L99"/>
    <mergeCell ref="S102:U102"/>
    <mergeCell ref="C91:E91"/>
    <mergeCell ref="Q95:R95"/>
    <mergeCell ref="C81:E81"/>
    <mergeCell ref="C82:E82"/>
    <mergeCell ref="F82:I82"/>
    <mergeCell ref="F66:I66"/>
    <mergeCell ref="F67:I67"/>
    <mergeCell ref="F69:I69"/>
    <mergeCell ref="F70:I70"/>
    <mergeCell ref="F77:I77"/>
    <mergeCell ref="F78:I78"/>
    <mergeCell ref="F79:I79"/>
    <mergeCell ref="F80:I80"/>
    <mergeCell ref="F81:I81"/>
    <mergeCell ref="C75:E75"/>
    <mergeCell ref="C80:E80"/>
    <mergeCell ref="C77:E77"/>
    <mergeCell ref="C78:E78"/>
    <mergeCell ref="C79:E79"/>
    <mergeCell ref="O88:R88"/>
    <mergeCell ref="K92:L92"/>
    <mergeCell ref="Q92:R92"/>
    <mergeCell ref="K93:L93"/>
    <mergeCell ref="F65:I65"/>
    <mergeCell ref="F71:I71"/>
    <mergeCell ref="F73:I73"/>
    <mergeCell ref="F75:I75"/>
    <mergeCell ref="K71:M71"/>
    <mergeCell ref="K73:M73"/>
    <mergeCell ref="K75:M75"/>
    <mergeCell ref="U71:W71"/>
    <mergeCell ref="U73:W73"/>
    <mergeCell ref="U75:W75"/>
    <mergeCell ref="P67:R67"/>
    <mergeCell ref="P69:R69"/>
    <mergeCell ref="P65:R65"/>
    <mergeCell ref="H60:J60"/>
    <mergeCell ref="H61:J61"/>
    <mergeCell ref="AE56:AJ56"/>
    <mergeCell ref="AE57:AJ57"/>
    <mergeCell ref="D56:Y56"/>
    <mergeCell ref="F33:G33"/>
    <mergeCell ref="F34:G34"/>
    <mergeCell ref="F35:G35"/>
    <mergeCell ref="F36:G36"/>
    <mergeCell ref="F37:G37"/>
    <mergeCell ref="F38:G38"/>
    <mergeCell ref="F46:G46"/>
    <mergeCell ref="F47:G47"/>
    <mergeCell ref="F48:G48"/>
    <mergeCell ref="F49:G49"/>
    <mergeCell ref="F50:G50"/>
    <mergeCell ref="F51:G51"/>
    <mergeCell ref="X49:Z49"/>
    <mergeCell ref="X50:Z50"/>
    <mergeCell ref="X51:Z51"/>
    <mergeCell ref="AB43:AD43"/>
    <mergeCell ref="AB44:AD44"/>
    <mergeCell ref="AB45:AD45"/>
    <mergeCell ref="P47:R47"/>
    <mergeCell ref="H59:J59"/>
    <mergeCell ref="AF29:AH29"/>
    <mergeCell ref="L29:N29"/>
    <mergeCell ref="P29:R29"/>
    <mergeCell ref="T29:V29"/>
    <mergeCell ref="X29:Z29"/>
    <mergeCell ref="AB29:AD29"/>
    <mergeCell ref="L34:N34"/>
    <mergeCell ref="L33:N33"/>
    <mergeCell ref="L32:N32"/>
    <mergeCell ref="L31:N31"/>
    <mergeCell ref="L30:N30"/>
    <mergeCell ref="AF31:AH31"/>
    <mergeCell ref="AF32:AH32"/>
    <mergeCell ref="AF33:AH33"/>
    <mergeCell ref="AF30:AH30"/>
    <mergeCell ref="AB35:AD35"/>
    <mergeCell ref="T38:V38"/>
    <mergeCell ref="X30:Z30"/>
    <mergeCell ref="B55:H55"/>
    <mergeCell ref="R55:U55"/>
    <mergeCell ref="P42:R42"/>
    <mergeCell ref="P43:R43"/>
    <mergeCell ref="AB32:AD32"/>
    <mergeCell ref="AE13:AJ13"/>
    <mergeCell ref="AE14:AJ14"/>
    <mergeCell ref="X32:Z32"/>
    <mergeCell ref="X33:Z33"/>
    <mergeCell ref="X34:Z34"/>
    <mergeCell ref="W25:Z25"/>
    <mergeCell ref="AB34:AD34"/>
    <mergeCell ref="J20:M20"/>
    <mergeCell ref="J21:M21"/>
    <mergeCell ref="J22:M22"/>
    <mergeCell ref="J23:M23"/>
    <mergeCell ref="AB30:AD30"/>
    <mergeCell ref="AB31:AD31"/>
    <mergeCell ref="J18:M18"/>
    <mergeCell ref="E13:X13"/>
    <mergeCell ref="E14:X14"/>
    <mergeCell ref="AA19:AD19"/>
    <mergeCell ref="X31:Z31"/>
    <mergeCell ref="J24:M24"/>
    <mergeCell ref="P30:R30"/>
    <mergeCell ref="P31:R31"/>
    <mergeCell ref="P32:R32"/>
    <mergeCell ref="P33:R33"/>
    <mergeCell ref="P34:R34"/>
    <mergeCell ref="T47:V47"/>
    <mergeCell ref="T48:V48"/>
    <mergeCell ref="T49:V49"/>
    <mergeCell ref="X37:Z37"/>
    <mergeCell ref="X38:Z38"/>
    <mergeCell ref="T42:V42"/>
    <mergeCell ref="X42:Z42"/>
    <mergeCell ref="AB33:AD33"/>
    <mergeCell ref="T30:V30"/>
    <mergeCell ref="T31:V31"/>
    <mergeCell ref="T32:V32"/>
    <mergeCell ref="AB36:AD36"/>
    <mergeCell ref="AB42:AD42"/>
    <mergeCell ref="P48:R48"/>
    <mergeCell ref="P79:R79"/>
    <mergeCell ref="P80:R80"/>
    <mergeCell ref="T50:V50"/>
    <mergeCell ref="T51:V51"/>
    <mergeCell ref="L42:N42"/>
    <mergeCell ref="L38:N38"/>
    <mergeCell ref="L37:N37"/>
    <mergeCell ref="L36:N36"/>
    <mergeCell ref="L51:N51"/>
    <mergeCell ref="L50:N50"/>
    <mergeCell ref="L49:N49"/>
    <mergeCell ref="P38:R38"/>
    <mergeCell ref="L48:N48"/>
    <mergeCell ref="P49:R49"/>
    <mergeCell ref="P50:R50"/>
    <mergeCell ref="P51:R51"/>
    <mergeCell ref="P44:R44"/>
    <mergeCell ref="L44:N44"/>
    <mergeCell ref="L43:N43"/>
    <mergeCell ref="T36:V36"/>
    <mergeCell ref="T37:V37"/>
    <mergeCell ref="T43:V43"/>
    <mergeCell ref="T44:V44"/>
    <mergeCell ref="P35:R35"/>
    <mergeCell ref="P36:R36"/>
    <mergeCell ref="P37:R37"/>
    <mergeCell ref="P45:R45"/>
    <mergeCell ref="P46:R46"/>
    <mergeCell ref="X35:Z35"/>
    <mergeCell ref="X36:Z36"/>
    <mergeCell ref="T33:V33"/>
    <mergeCell ref="T34:V34"/>
    <mergeCell ref="T35:V35"/>
    <mergeCell ref="T45:V45"/>
    <mergeCell ref="T46:V46"/>
    <mergeCell ref="AF51:AH51"/>
    <mergeCell ref="Y60:Z60"/>
    <mergeCell ref="Y61:Z61"/>
    <mergeCell ref="AS6:BG7"/>
    <mergeCell ref="BK1:BZ4"/>
    <mergeCell ref="D149:Y149"/>
    <mergeCell ref="AE149:AJ149"/>
    <mergeCell ref="X43:Z43"/>
    <mergeCell ref="AF48:AH48"/>
    <mergeCell ref="AF49:AH49"/>
    <mergeCell ref="AF50:AH50"/>
    <mergeCell ref="W86:Y86"/>
    <mergeCell ref="L47:N47"/>
    <mergeCell ref="L46:N46"/>
    <mergeCell ref="L45:N45"/>
    <mergeCell ref="W1:AK4"/>
    <mergeCell ref="AB37:AD37"/>
    <mergeCell ref="AB38:AD38"/>
    <mergeCell ref="AB46:AD46"/>
    <mergeCell ref="AB47:AD47"/>
    <mergeCell ref="X44:Z44"/>
    <mergeCell ref="J25:M25"/>
    <mergeCell ref="W21:Z21"/>
    <mergeCell ref="W24:Z24"/>
    <mergeCell ref="Z71:AB71"/>
    <mergeCell ref="AE71:AG71"/>
    <mergeCell ref="L35:N35"/>
    <mergeCell ref="X100:Z100"/>
    <mergeCell ref="AF86:AH86"/>
    <mergeCell ref="Y63:Z63"/>
    <mergeCell ref="AF34:AH34"/>
    <mergeCell ref="AF35:AH35"/>
    <mergeCell ref="AF36:AH36"/>
    <mergeCell ref="AF37:AH37"/>
    <mergeCell ref="AF38:AH38"/>
    <mergeCell ref="AF43:AH43"/>
    <mergeCell ref="AF44:AH44"/>
    <mergeCell ref="AF45:AH45"/>
    <mergeCell ref="AF46:AH46"/>
    <mergeCell ref="AF47:AH47"/>
    <mergeCell ref="AB48:AD48"/>
    <mergeCell ref="AB49:AD49"/>
    <mergeCell ref="AB50:AD50"/>
    <mergeCell ref="AB51:AD51"/>
    <mergeCell ref="X48:Z48"/>
    <mergeCell ref="X45:Z45"/>
    <mergeCell ref="X46:Z46"/>
    <mergeCell ref="X47:Z47"/>
  </mergeCells>
  <conditionalFormatting sqref="B117:AJ126">
    <cfRule type="expression" dxfId="328" priority="1252">
      <formula>$AL$186&gt;0</formula>
    </cfRule>
    <cfRule type="cellIs" priority="1251" stopIfTrue="1" operator="greaterThan">
      <formula>0</formula>
    </cfRule>
  </conditionalFormatting>
  <conditionalFormatting sqref="C75">
    <cfRule type="expression" dxfId="327" priority="1065">
      <formula>$AL$75=1</formula>
    </cfRule>
    <cfRule type="cellIs" priority="1064" operator="greaterThan">
      <formula>0</formula>
    </cfRule>
  </conditionalFormatting>
  <conditionalFormatting sqref="C153 F153">
    <cfRule type="expression" dxfId="326" priority="89">
      <formula>$AL153=1</formula>
    </cfRule>
  </conditionalFormatting>
  <conditionalFormatting sqref="C153">
    <cfRule type="expression" dxfId="325" priority="90">
      <formula>$AM153=2</formula>
    </cfRule>
  </conditionalFormatting>
  <conditionalFormatting sqref="C155 F155">
    <cfRule type="expression" dxfId="324" priority="30">
      <formula>$AL155=1</formula>
    </cfRule>
  </conditionalFormatting>
  <conditionalFormatting sqref="C155">
    <cfRule type="expression" dxfId="323" priority="31">
      <formula>$AM155=2</formula>
    </cfRule>
  </conditionalFormatting>
  <conditionalFormatting sqref="C157 F157">
    <cfRule type="expression" dxfId="322" priority="86">
      <formula>$AL157=1</formula>
    </cfRule>
  </conditionalFormatting>
  <conditionalFormatting sqref="C159 F159">
    <cfRule type="expression" dxfId="321" priority="109">
      <formula>$AL$159=1</formula>
    </cfRule>
  </conditionalFormatting>
  <conditionalFormatting sqref="C159">
    <cfRule type="expression" dxfId="320" priority="110">
      <formula>$AM$159=2</formula>
    </cfRule>
  </conditionalFormatting>
  <conditionalFormatting sqref="C161 F161">
    <cfRule type="expression" dxfId="319" priority="108">
      <formula>$AM$159=2</formula>
    </cfRule>
  </conditionalFormatting>
  <conditionalFormatting sqref="C165 F165">
    <cfRule type="expression" dxfId="318" priority="17">
      <formula>$AN165=4</formula>
    </cfRule>
    <cfRule type="expression" dxfId="317" priority="80">
      <formula>$AL165=1</formula>
    </cfRule>
  </conditionalFormatting>
  <conditionalFormatting sqref="C165">
    <cfRule type="expression" dxfId="316" priority="81">
      <formula>$AM165=2</formula>
    </cfRule>
  </conditionalFormatting>
  <conditionalFormatting sqref="C167 C169 C171 C173 C175 C177 C179 C181 C183">
    <cfRule type="expression" dxfId="315" priority="16">
      <formula>$AM167=2</formula>
    </cfRule>
  </conditionalFormatting>
  <conditionalFormatting sqref="C167 F167 C169 F169 C171 F171 C173 F173 C175 F175 C177 F177 C179 F179 C181 F181 C183 F183">
    <cfRule type="expression" dxfId="314" priority="14">
      <formula>$AN167=4</formula>
    </cfRule>
    <cfRule type="expression" dxfId="313" priority="15">
      <formula>$AL167=1</formula>
    </cfRule>
  </conditionalFormatting>
  <conditionalFormatting sqref="C92:E92">
    <cfRule type="cellIs" priority="167" operator="greaterThan">
      <formula>0</formula>
    </cfRule>
    <cfRule type="expression" dxfId="312" priority="168">
      <formula>ISBLANK($C$92)</formula>
    </cfRule>
  </conditionalFormatting>
  <conditionalFormatting sqref="D149 AE149:AE150">
    <cfRule type="cellIs" dxfId="311" priority="189" operator="equal">
      <formula>0</formula>
    </cfRule>
  </conditionalFormatting>
  <conditionalFormatting sqref="E13:E14 AE13:AE14 F65 P65 F69 P69 F71 F73 F85:F86 O85:O86 W86 O88 W88 AC102">
    <cfRule type="expression" dxfId="310" priority="331">
      <formula>ISBLANK(E13)</formula>
    </cfRule>
  </conditionalFormatting>
  <conditionalFormatting sqref="F16 N16 V16">
    <cfRule type="expression" dxfId="309" priority="306">
      <formula>ISBLANK(F16)</formula>
    </cfRule>
  </conditionalFormatting>
  <conditionalFormatting sqref="F138:F139">
    <cfRule type="expression" dxfId="308" priority="138">
      <formula>ISBLANK(F138)</formula>
    </cfRule>
  </conditionalFormatting>
  <conditionalFormatting sqref="F141:F143">
    <cfRule type="expression" dxfId="307" priority="133">
      <formula>ISBLANK(F141)</formula>
    </cfRule>
  </conditionalFormatting>
  <conditionalFormatting sqref="F161 C161">
    <cfRule type="expression" priority="107" stopIfTrue="1">
      <formula>$AN$161=3</formula>
    </cfRule>
  </conditionalFormatting>
  <conditionalFormatting sqref="F161">
    <cfRule type="expression" dxfId="306" priority="106" stopIfTrue="1">
      <formula>$AM$161=2</formula>
    </cfRule>
  </conditionalFormatting>
  <conditionalFormatting sqref="F77:H82">
    <cfRule type="expression" dxfId="305" priority="144">
      <formula>AL77=2</formula>
    </cfRule>
  </conditionalFormatting>
  <conditionalFormatting sqref="F66:I66">
    <cfRule type="cellIs" priority="194" stopIfTrue="1" operator="greaterThan">
      <formula>0</formula>
    </cfRule>
    <cfRule type="expression" priority="193" stopIfTrue="1">
      <formula>$AL$67=2</formula>
    </cfRule>
    <cfRule type="expression" dxfId="304" priority="195">
      <formula>$AL$66=1</formula>
    </cfRule>
  </conditionalFormatting>
  <conditionalFormatting sqref="F67:I67 P67:R67">
    <cfRule type="expression" dxfId="303" priority="192">
      <formula>$AL$67</formula>
    </cfRule>
    <cfRule type="cellIs" priority="191" stopIfTrue="1" operator="greaterThan">
      <formula>0</formula>
    </cfRule>
    <cfRule type="expression" priority="190" stopIfTrue="1">
      <formula>$AL$66=2</formula>
    </cfRule>
  </conditionalFormatting>
  <conditionalFormatting sqref="F75:I75 K75:M75 U75:W75">
    <cfRule type="cellIs" priority="1066" stopIfTrue="1" operator="greaterThan">
      <formula>0</formula>
    </cfRule>
    <cfRule type="expression" dxfId="302" priority="1067">
      <formula>$AL$75=2</formula>
    </cfRule>
  </conditionalFormatting>
  <conditionalFormatting sqref="F77:I82">
    <cfRule type="cellIs" priority="143" stopIfTrue="1" operator="greaterThan">
      <formula>0</formula>
    </cfRule>
  </conditionalFormatting>
  <conditionalFormatting sqref="F140:Z140">
    <cfRule type="expression" dxfId="301" priority="136">
      <formula>ISBLANK(F140)</formula>
    </cfRule>
  </conditionalFormatting>
  <conditionalFormatting sqref="H63 L63">
    <cfRule type="expression" dxfId="300" priority="203">
      <formula>$AM$63=1</formula>
    </cfRule>
  </conditionalFormatting>
  <conditionalFormatting sqref="H92 M92">
    <cfRule type="expression" dxfId="299" priority="260">
      <formula>$AL$92=2</formula>
    </cfRule>
    <cfRule type="cellIs" priority="198" operator="greaterThan">
      <formula>0</formula>
    </cfRule>
  </conditionalFormatting>
  <conditionalFormatting sqref="H93 M93">
    <cfRule type="expression" dxfId="298" priority="258">
      <formula>$AL$93=2</formula>
    </cfRule>
  </conditionalFormatting>
  <conditionalFormatting sqref="H93:H101 M93:M101">
    <cfRule type="cellIs" priority="241" stopIfTrue="1" operator="greaterThan">
      <formula>0</formula>
    </cfRule>
  </conditionalFormatting>
  <conditionalFormatting sqref="H94 M94">
    <cfRule type="expression" dxfId="297" priority="256">
      <formula>$AL$94=2</formula>
    </cfRule>
  </conditionalFormatting>
  <conditionalFormatting sqref="H95 M95">
    <cfRule type="expression" dxfId="296" priority="254">
      <formula>$AL$95=2</formula>
    </cfRule>
  </conditionalFormatting>
  <conditionalFormatting sqref="H96 M96">
    <cfRule type="expression" dxfId="295" priority="252">
      <formula>$AL$96=2</formula>
    </cfRule>
  </conditionalFormatting>
  <conditionalFormatting sqref="H97 M97">
    <cfRule type="expression" dxfId="294" priority="250">
      <formula>$AL$97=2</formula>
    </cfRule>
  </conditionalFormatting>
  <conditionalFormatting sqref="H98 M98">
    <cfRule type="expression" dxfId="293" priority="248">
      <formula>$AL$98=2</formula>
    </cfRule>
  </conditionalFormatting>
  <conditionalFormatting sqref="H99 M99">
    <cfRule type="expression" dxfId="292" priority="246">
      <formula>$AL$99=2</formula>
    </cfRule>
  </conditionalFormatting>
  <conditionalFormatting sqref="H100 M100">
    <cfRule type="expression" dxfId="291" priority="244">
      <formula>$AL$100=2</formula>
    </cfRule>
  </conditionalFormatting>
  <conditionalFormatting sqref="H101 M101">
    <cfRule type="expression" dxfId="290" priority="242">
      <formula>$AL$101=2</formula>
    </cfRule>
  </conditionalFormatting>
  <conditionalFormatting sqref="H59:J61 U59:X61">
    <cfRule type="expression" dxfId="289" priority="196">
      <formula>ISBLANK(H59)</formula>
    </cfRule>
  </conditionalFormatting>
  <conditionalFormatting sqref="H92:J92">
    <cfRule type="expression" priority="166" stopIfTrue="1">
      <formula>$AN$92=2</formula>
    </cfRule>
  </conditionalFormatting>
  <conditionalFormatting sqref="H92:J101 X92:Z101 AC92:AF101">
    <cfRule type="expression" dxfId="288" priority="114">
      <formula>$AM$60=2</formula>
    </cfRule>
    <cfRule type="expression" dxfId="287" priority="113">
      <formula>$AM$60=1</formula>
    </cfRule>
  </conditionalFormatting>
  <conditionalFormatting sqref="I77:I82">
    <cfRule type="expression" dxfId="286" priority="1258">
      <formula>AQ77=2</formula>
    </cfRule>
  </conditionalFormatting>
  <conditionalFormatting sqref="J18">
    <cfRule type="expression" dxfId="285" priority="324">
      <formula>ISBLANK(J18)</formula>
    </cfRule>
  </conditionalFormatting>
  <conditionalFormatting sqref="J20:J24">
    <cfRule type="expression" dxfId="284" priority="322">
      <formula>ISBLANK(J20)</formula>
    </cfRule>
  </conditionalFormatting>
  <conditionalFormatting sqref="J25 D56 AE56:AE57 H102 D105 AE105:AE106">
    <cfRule type="cellIs" dxfId="283" priority="312" operator="equal">
      <formula>0</formula>
    </cfRule>
  </conditionalFormatting>
  <conditionalFormatting sqref="K53 N53">
    <cfRule type="expression" priority="97">
      <formula>$AL53=2</formula>
    </cfRule>
    <cfRule type="expression" dxfId="282" priority="98">
      <formula>$AL53=1</formula>
    </cfRule>
  </conditionalFormatting>
  <conditionalFormatting sqref="K53">
    <cfRule type="expression" dxfId="281" priority="92">
      <formula>$AM$53=2</formula>
    </cfRule>
  </conditionalFormatting>
  <conditionalFormatting sqref="K71 N71 S71 U71 Z71">
    <cfRule type="cellIs" dxfId="280" priority="342" operator="greaterThan">
      <formula>0</formula>
    </cfRule>
    <cfRule type="expression" dxfId="279" priority="343">
      <formula>$AL$71=2</formula>
    </cfRule>
  </conditionalFormatting>
  <conditionalFormatting sqref="K73 U73">
    <cfRule type="expression" dxfId="278" priority="340">
      <formula>$AL$73=2</formula>
    </cfRule>
    <cfRule type="cellIs" dxfId="277" priority="339" operator="greaterThan">
      <formula>0</formula>
    </cfRule>
  </conditionalFormatting>
  <conditionalFormatting sqref="K92:K101 Q92:Q101">
    <cfRule type="expression" dxfId="276" priority="128">
      <formula>$AM$60=3</formula>
    </cfRule>
  </conditionalFormatting>
  <conditionalFormatting sqref="K92:L101 Q92:R101">
    <cfRule type="expression" dxfId="275" priority="127">
      <formula>$AL$58=1</formula>
    </cfRule>
  </conditionalFormatting>
  <conditionalFormatting sqref="K77:M77 U77:W77">
    <cfRule type="expression" dxfId="274" priority="1073">
      <formula>$AL$77=2</formula>
    </cfRule>
  </conditionalFormatting>
  <conditionalFormatting sqref="K77:M82 U77:W82">
    <cfRule type="cellIs" priority="1072" stopIfTrue="1" operator="greaterThan">
      <formula>0</formula>
    </cfRule>
  </conditionalFormatting>
  <conditionalFormatting sqref="K78:M78 U78:W78">
    <cfRule type="expression" dxfId="273" priority="1079">
      <formula>$AL$78=2</formula>
    </cfRule>
  </conditionalFormatting>
  <conditionalFormatting sqref="K79:M79 U79:W79">
    <cfRule type="expression" dxfId="272" priority="1085">
      <formula>$AL$79=2</formula>
    </cfRule>
  </conditionalFormatting>
  <conditionalFormatting sqref="K80:M80 U80:W80">
    <cfRule type="expression" dxfId="271" priority="1091">
      <formula>$AL$80=2</formula>
    </cfRule>
  </conditionalFormatting>
  <conditionalFormatting sqref="K81:M81 U81:W81">
    <cfRule type="expression" dxfId="270" priority="1097">
      <formula>$AL$81=2</formula>
    </cfRule>
  </conditionalFormatting>
  <conditionalFormatting sqref="K82:M82 U82:W82">
    <cfRule type="expression" dxfId="269" priority="1103">
      <formula>$AL$82=2</formula>
    </cfRule>
  </conditionalFormatting>
  <conditionalFormatting sqref="L30:L38">
    <cfRule type="cellIs" dxfId="268" priority="155" stopIfTrue="1" operator="greaterThan">
      <formula>0</formula>
    </cfRule>
    <cfRule type="expression" dxfId="267" priority="216">
      <formula>$L$28=2</formula>
    </cfRule>
  </conditionalFormatting>
  <conditionalFormatting sqref="L43:L51">
    <cfRule type="expression" dxfId="266" priority="295">
      <formula>$L$41=2</formula>
    </cfRule>
    <cfRule type="cellIs" dxfId="265" priority="294" operator="greaterThan">
      <formula>0</formula>
    </cfRule>
  </conditionalFormatting>
  <conditionalFormatting sqref="L183">
    <cfRule type="expression" dxfId="264" priority="85">
      <formula>$AM183=2</formula>
    </cfRule>
  </conditionalFormatting>
  <conditionalFormatting sqref="L29:N29">
    <cfRule type="cellIs" priority="187" operator="greaterThan">
      <formula>0</formula>
    </cfRule>
    <cfRule type="expression" dxfId="263" priority="188">
      <formula>ISBLANK($L$29)</formula>
    </cfRule>
  </conditionalFormatting>
  <conditionalFormatting sqref="L42:N42">
    <cfRule type="cellIs" priority="185" operator="greaterThan">
      <formula>0</formula>
    </cfRule>
    <cfRule type="expression" dxfId="262" priority="186">
      <formula>ISBLANK($L$42)</formula>
    </cfRule>
  </conditionalFormatting>
  <conditionalFormatting sqref="L183:T183">
    <cfRule type="cellIs" priority="34" stopIfTrue="1" operator="greaterThan">
      <formula>0</formula>
    </cfRule>
  </conditionalFormatting>
  <conditionalFormatting sqref="M109:O114">
    <cfRule type="expression" dxfId="261" priority="164">
      <formula>ISBLANK(M109)</formula>
    </cfRule>
  </conditionalFormatting>
  <conditionalFormatting sqref="M92:P92">
    <cfRule type="expression" priority="1260" stopIfTrue="1">
      <formula>$AO$92=2</formula>
    </cfRule>
  </conditionalFormatting>
  <conditionalFormatting sqref="M92:P101">
    <cfRule type="expression" dxfId="260" priority="112">
      <formula>$AM$60=2</formula>
    </cfRule>
    <cfRule type="expression" dxfId="259" priority="111">
      <formula>$AM$60=1</formula>
    </cfRule>
  </conditionalFormatting>
  <conditionalFormatting sqref="N58 S58">
    <cfRule type="expression" dxfId="258" priority="337">
      <formula>$AL$58=1</formula>
    </cfRule>
  </conditionalFormatting>
  <conditionalFormatting sqref="O88:R88 W88:Z88">
    <cfRule type="cellIs" dxfId="257" priority="142" operator="equal">
      <formula>0</formula>
    </cfRule>
  </conditionalFormatting>
  <conditionalFormatting sqref="P27 S27 V27 Y27">
    <cfRule type="expression" dxfId="256" priority="101">
      <formula>$AL27=1</formula>
    </cfRule>
    <cfRule type="expression" priority="100" stopIfTrue="1">
      <formula>$AL27=2</formula>
    </cfRule>
  </conditionalFormatting>
  <conditionalFormatting sqref="P40 S40 V40 Y40">
    <cfRule type="expression" dxfId="255" priority="96">
      <formula>$AL40=1</formula>
    </cfRule>
    <cfRule type="expression" priority="95" stopIfTrue="1">
      <formula>$AL40=2</formula>
    </cfRule>
  </conditionalFormatting>
  <conditionalFormatting sqref="P43:P51">
    <cfRule type="expression" dxfId="254" priority="954">
      <formula>$P$41=2</formula>
    </cfRule>
    <cfRule type="cellIs" dxfId="253" priority="953" operator="greaterThan">
      <formula>0</formula>
    </cfRule>
  </conditionalFormatting>
  <conditionalFormatting sqref="P141">
    <cfRule type="expression" dxfId="252" priority="134">
      <formula>ISBLANK(P141)</formula>
    </cfRule>
  </conditionalFormatting>
  <conditionalFormatting sqref="P29:R38">
    <cfRule type="cellIs" priority="201" stopIfTrue="1" operator="greaterThan">
      <formula>0</formula>
    </cfRule>
    <cfRule type="expression" dxfId="251" priority="202">
      <formula>$P$28=2</formula>
    </cfRule>
  </conditionalFormatting>
  <conditionalFormatting sqref="Q109:S114">
    <cfRule type="expression" dxfId="250" priority="153">
      <formula>ISBLANK(Q109)</formula>
    </cfRule>
  </conditionalFormatting>
  <conditionalFormatting sqref="S31:S32 S33:T38">
    <cfRule type="cellIs" dxfId="249" priority="212" operator="greaterThan">
      <formula>0</formula>
    </cfRule>
  </conditionalFormatting>
  <conditionalFormatting sqref="S31:S38">
    <cfRule type="expression" dxfId="248" priority="302">
      <formula>$R$28=2</formula>
    </cfRule>
  </conditionalFormatting>
  <conditionalFormatting sqref="S102">
    <cfRule type="cellIs" dxfId="247" priority="1026" operator="lessThan">
      <formula>$H102</formula>
    </cfRule>
    <cfRule type="expression" dxfId="246" priority="141">
      <formula>ISBLANK(S102)</formula>
    </cfRule>
  </conditionalFormatting>
  <conditionalFormatting sqref="S102:U102">
    <cfRule type="expression" dxfId="245" priority="1027">
      <formula>$AN$102=2</formula>
    </cfRule>
  </conditionalFormatting>
  <conditionalFormatting sqref="T30:T32">
    <cfRule type="cellIs" dxfId="244" priority="1019" operator="greaterThan">
      <formula>0</formula>
    </cfRule>
  </conditionalFormatting>
  <conditionalFormatting sqref="T30:T38">
    <cfRule type="expression" dxfId="243" priority="1020">
      <formula>$T$28=2</formula>
    </cfRule>
  </conditionalFormatting>
  <conditionalFormatting sqref="T43:T51">
    <cfRule type="cellIs" dxfId="242" priority="997" operator="greaterThan">
      <formula>0</formula>
    </cfRule>
    <cfRule type="expression" dxfId="241" priority="998">
      <formula>$T$41=2</formula>
    </cfRule>
  </conditionalFormatting>
  <conditionalFormatting sqref="U109:U114 Y109:Y114 AC109:AC114">
    <cfRule type="expression" dxfId="240" priority="32" stopIfTrue="1">
      <formula>ISBLANK(U109)</formula>
    </cfRule>
  </conditionalFormatting>
  <conditionalFormatting sqref="U60:X61 X63">
    <cfRule type="expression" dxfId="239" priority="132">
      <formula>$AM$60=1</formula>
    </cfRule>
    <cfRule type="expression" dxfId="238" priority="131">
      <formula>$AM$60=2</formula>
    </cfRule>
  </conditionalFormatting>
  <conditionalFormatting sqref="U63:X63">
    <cfRule type="cellIs" priority="199" stopIfTrue="1" operator="greaterThan">
      <formula>0</formula>
    </cfRule>
    <cfRule type="expression" dxfId="237" priority="200">
      <formula>$AL$63=1</formula>
    </cfRule>
  </conditionalFormatting>
  <conditionalFormatting sqref="W53 Z53">
    <cfRule type="expression" dxfId="236" priority="94">
      <formula>$AN$53=1</formula>
    </cfRule>
    <cfRule type="expression" priority="93">
      <formula>$AN$53=2</formula>
    </cfRule>
  </conditionalFormatting>
  <conditionalFormatting sqref="W53">
    <cfRule type="expression" dxfId="235" priority="1261">
      <formula>$AO$53=2</formula>
    </cfRule>
  </conditionalFormatting>
  <conditionalFormatting sqref="W21:Z21">
    <cfRule type="cellIs" dxfId="234" priority="163" operator="equal">
      <formula>0</formula>
    </cfRule>
    <cfRule type="expression" priority="162" stopIfTrue="1">
      <formula>$AL$21=1</formula>
    </cfRule>
  </conditionalFormatting>
  <conditionalFormatting sqref="W24:Z25">
    <cfRule type="cellIs" dxfId="233" priority="161" operator="equal">
      <formula>0</formula>
    </cfRule>
    <cfRule type="expression" priority="160" stopIfTrue="1">
      <formula>$AL$21=1</formula>
    </cfRule>
  </conditionalFormatting>
  <conditionalFormatting sqref="X30:X38">
    <cfRule type="cellIs" dxfId="232" priority="1021" operator="greaterThan">
      <formula>0</formula>
    </cfRule>
    <cfRule type="expression" dxfId="231" priority="1022">
      <formula>$X$28=2</formula>
    </cfRule>
  </conditionalFormatting>
  <conditionalFormatting sqref="X43:X51">
    <cfRule type="cellIs" dxfId="230" priority="1007" operator="greaterThan">
      <formula>0</formula>
    </cfRule>
    <cfRule type="expression" dxfId="229" priority="1008">
      <formula>$X$41=2</formula>
    </cfRule>
  </conditionalFormatting>
  <conditionalFormatting sqref="X92 AC92">
    <cfRule type="expression" dxfId="228" priority="240">
      <formula>$AM$92=2</formula>
    </cfRule>
  </conditionalFormatting>
  <conditionalFormatting sqref="X92:X93 AC92:AC93">
    <cfRule type="cellIs" priority="237" stopIfTrue="1" operator="greaterThan">
      <formula>0</formula>
    </cfRule>
  </conditionalFormatting>
  <conditionalFormatting sqref="X93 AC93">
    <cfRule type="expression" dxfId="227" priority="238">
      <formula>$AM$93=2</formula>
    </cfRule>
  </conditionalFormatting>
  <conditionalFormatting sqref="X94 AC94">
    <cfRule type="expression" dxfId="226" priority="236">
      <formula>$AM$94=2</formula>
    </cfRule>
    <cfRule type="cellIs" priority="235" stopIfTrue="1" operator="greaterThan">
      <formula>1</formula>
    </cfRule>
  </conditionalFormatting>
  <conditionalFormatting sqref="X95 AC95">
    <cfRule type="expression" dxfId="225" priority="234">
      <formula>$AM$95=2</formula>
    </cfRule>
  </conditionalFormatting>
  <conditionalFormatting sqref="X95:X100 AC95:AC100">
    <cfRule type="cellIs" priority="223" stopIfTrue="1" operator="greaterThan">
      <formula>0</formula>
    </cfRule>
  </conditionalFormatting>
  <conditionalFormatting sqref="X96 AC96">
    <cfRule type="expression" dxfId="224" priority="232">
      <formula>$AM$96=2</formula>
    </cfRule>
  </conditionalFormatting>
  <conditionalFormatting sqref="X97 AC97">
    <cfRule type="expression" dxfId="223" priority="230">
      <formula>$AM$97=2</formula>
    </cfRule>
  </conditionalFormatting>
  <conditionalFormatting sqref="X98 AC98">
    <cfRule type="expression" dxfId="222" priority="228">
      <formula>$AM$98=2</formula>
    </cfRule>
  </conditionalFormatting>
  <conditionalFormatting sqref="X99 AC99">
    <cfRule type="expression" dxfId="221" priority="226">
      <formula>$AM$99=2</formula>
    </cfRule>
  </conditionalFormatting>
  <conditionalFormatting sqref="X100 AC100">
    <cfRule type="expression" dxfId="220" priority="224">
      <formula>$AM$100=2</formula>
    </cfRule>
  </conditionalFormatting>
  <conditionalFormatting sqref="X101 AC101">
    <cfRule type="expression" dxfId="219" priority="222">
      <formula>$AM$101=2</formula>
    </cfRule>
    <cfRule type="cellIs" priority="221" stopIfTrue="1" operator="notEqual">
      <formula>0</formula>
    </cfRule>
  </conditionalFormatting>
  <conditionalFormatting sqref="X141">
    <cfRule type="expression" dxfId="218" priority="135">
      <formula>ISBLANK(X141)</formula>
    </cfRule>
  </conditionalFormatting>
  <conditionalFormatting sqref="Y60:Y61">
    <cfRule type="expression" dxfId="217" priority="197">
      <formula>$AM$60=3</formula>
    </cfRule>
  </conditionalFormatting>
  <conditionalFormatting sqref="Y63">
    <cfRule type="expression" dxfId="216" priority="130">
      <formula>$AM$60=3</formula>
    </cfRule>
  </conditionalFormatting>
  <conditionalFormatting sqref="Y60:Z61">
    <cfRule type="expression" dxfId="215" priority="150">
      <formula>$AL$58=1</formula>
    </cfRule>
  </conditionalFormatting>
  <conditionalFormatting sqref="Y63:Z63">
    <cfRule type="expression" dxfId="214" priority="129">
      <formula>$AL$58=1</formula>
    </cfRule>
  </conditionalFormatting>
  <conditionalFormatting sqref="Y109:AA112">
    <cfRule type="cellIs" dxfId="213" priority="159" operator="greaterThan">
      <formula>$W$86</formula>
    </cfRule>
  </conditionalFormatting>
  <conditionalFormatting sqref="Y113:AA113">
    <cfRule type="expression" dxfId="212" priority="33">
      <formula>$AL$113&lt;1</formula>
    </cfRule>
  </conditionalFormatting>
  <conditionalFormatting sqref="Y114:AA114">
    <cfRule type="expression" dxfId="211" priority="308">
      <formula>$AL$114&lt;1</formula>
    </cfRule>
  </conditionalFormatting>
  <conditionalFormatting sqref="AA19">
    <cfRule type="expression" dxfId="210" priority="323">
      <formula>ISBLANK(AA19)</formula>
    </cfRule>
  </conditionalFormatting>
  <conditionalFormatting sqref="AA92:AA101">
    <cfRule type="expression" dxfId="209" priority="118">
      <formula>$AM$60=3</formula>
    </cfRule>
  </conditionalFormatting>
  <conditionalFormatting sqref="AA92:AB101">
    <cfRule type="expression" dxfId="208" priority="117">
      <formula>$AL$58=1</formula>
    </cfRule>
  </conditionalFormatting>
  <conditionalFormatting sqref="AB30:AB38">
    <cfRule type="expression" dxfId="207" priority="297">
      <formula>$AB$28=2</formula>
    </cfRule>
    <cfRule type="cellIs" dxfId="206" priority="296" operator="greaterThan">
      <formula>0</formula>
    </cfRule>
  </conditionalFormatting>
  <conditionalFormatting sqref="AB43:AB51">
    <cfRule type="cellIs" dxfId="205" priority="1017" operator="greaterThan">
      <formula>0</formula>
    </cfRule>
    <cfRule type="expression" dxfId="204" priority="1018">
      <formula>$AB$41=2</formula>
    </cfRule>
  </conditionalFormatting>
  <conditionalFormatting sqref="AC109:AC114">
    <cfRule type="cellIs" dxfId="203" priority="1176" operator="greaterThan">
      <formula>$AM$117</formula>
    </cfRule>
  </conditionalFormatting>
  <conditionalFormatting sqref="AD145">
    <cfRule type="expression" dxfId="202" priority="137">
      <formula>ISBLANK(AD145)</formula>
    </cfRule>
  </conditionalFormatting>
  <conditionalFormatting sqref="AE71">
    <cfRule type="expression" dxfId="201" priority="105">
      <formula>$AL$71=2</formula>
    </cfRule>
    <cfRule type="cellIs" dxfId="200" priority="104" operator="greaterThan">
      <formula>0</formula>
    </cfRule>
  </conditionalFormatting>
  <conditionalFormatting sqref="AF61 AI61">
    <cfRule type="expression" dxfId="199" priority="1030">
      <formula>$AL$61=1</formula>
    </cfRule>
  </conditionalFormatting>
  <conditionalFormatting sqref="AF63 AI63">
    <cfRule type="expression" dxfId="198" priority="1032">
      <formula>$AM$61=1</formula>
    </cfRule>
  </conditionalFormatting>
  <conditionalFormatting sqref="AF65 AI65">
    <cfRule type="expression" dxfId="197" priority="1104">
      <formula>$AL$65=1</formula>
    </cfRule>
  </conditionalFormatting>
  <conditionalFormatting sqref="AF67 AI67">
    <cfRule type="expression" dxfId="196" priority="1253">
      <formula>$AM$67=1</formula>
    </cfRule>
  </conditionalFormatting>
  <conditionalFormatting sqref="AF69 AI69">
    <cfRule type="expression" dxfId="195" priority="1254">
      <formula>$AL$69=1</formula>
    </cfRule>
  </conditionalFormatting>
  <conditionalFormatting sqref="AF73 AI73">
    <cfRule type="expression" dxfId="194" priority="99">
      <formula>$AM$73=1</formula>
    </cfRule>
  </conditionalFormatting>
  <conditionalFormatting sqref="AF75 AI75">
    <cfRule type="expression" dxfId="193" priority="205">
      <formula>$AM$75=1</formula>
    </cfRule>
  </conditionalFormatting>
  <conditionalFormatting sqref="AF77 AI77">
    <cfRule type="expression" dxfId="192" priority="204">
      <formula>$AM$77=1</formula>
    </cfRule>
  </conditionalFormatting>
  <conditionalFormatting sqref="AF84 AI84">
    <cfRule type="expression" dxfId="191" priority="219">
      <formula>$AL$84=1</formula>
    </cfRule>
  </conditionalFormatting>
  <conditionalFormatting sqref="AF86">
    <cfRule type="expression" dxfId="190" priority="307">
      <formula>ISBLANK(AF86)</formula>
    </cfRule>
  </conditionalFormatting>
  <conditionalFormatting sqref="AF165 AI165">
    <cfRule type="expression" dxfId="189" priority="5">
      <formula>$AQ165=4</formula>
    </cfRule>
    <cfRule type="expression" dxfId="188" priority="9">
      <formula>$AM165=2</formula>
    </cfRule>
  </conditionalFormatting>
  <conditionalFormatting sqref="AF167 AI167 AF169 AI169 AF171 AI171 AF173 AI173 AF175 AI175 AF177 AI177 AF179 AI179 AF181 AI181 AF183 AI183">
    <cfRule type="expression" dxfId="187" priority="4">
      <formula>$AM167=2</formula>
    </cfRule>
    <cfRule type="expression" dxfId="186" priority="1">
      <formula>$AQ167=4</formula>
    </cfRule>
  </conditionalFormatting>
  <conditionalFormatting sqref="AF33:AH38 AF46:AH51">
    <cfRule type="expression" dxfId="185" priority="151">
      <formula>ISBLANK(AF33)</formula>
    </cfRule>
  </conditionalFormatting>
  <conditionalFormatting sqref="AF34:AH38">
    <cfRule type="cellIs" dxfId="184" priority="146" operator="equal">
      <formula>0</formula>
    </cfRule>
  </conditionalFormatting>
  <conditionalFormatting sqref="AF47:AH51">
    <cfRule type="cellIs" dxfId="183" priority="145" operator="equal">
      <formula>0</formula>
    </cfRule>
  </conditionalFormatting>
  <conditionalFormatting sqref="AG92:AG101">
    <cfRule type="expression" dxfId="182" priority="124">
      <formula>$AM$60=3</formula>
    </cfRule>
  </conditionalFormatting>
  <conditionalFormatting sqref="AG109:AG114">
    <cfRule type="expression" dxfId="181" priority="88">
      <formula>$AN109=1</formula>
    </cfRule>
    <cfRule type="expression" dxfId="180" priority="28">
      <formula>ISBLANK(AG109)</formula>
    </cfRule>
  </conditionalFormatting>
  <conditionalFormatting sqref="AG92:AH101">
    <cfRule type="expression" dxfId="179" priority="123">
      <formula>$AL$58=1</formula>
    </cfRule>
  </conditionalFormatting>
  <conditionalFormatting sqref="AG109:AI114">
    <cfRule type="expression" dxfId="178" priority="1029">
      <formula>$AP109=1</formula>
    </cfRule>
    <cfRule type="expression" dxfId="177" priority="1028">
      <formula>$AO109=1</formula>
    </cfRule>
  </conditionalFormatting>
  <conditionalFormatting sqref="AI73">
    <cfRule type="expression" dxfId="176" priority="208">
      <formula>$AN$73=2</formula>
    </cfRule>
  </conditionalFormatting>
  <conditionalFormatting sqref="AI165 AF165">
    <cfRule type="expression" priority="8" stopIfTrue="1">
      <formula>$AQ165=3</formula>
    </cfRule>
  </conditionalFormatting>
  <conditionalFormatting sqref="AI165">
    <cfRule type="expression" dxfId="175" priority="6">
      <formula>$AP165=2</formula>
    </cfRule>
  </conditionalFormatting>
  <conditionalFormatting sqref="AI167 AI169 AI171 AI173 AI175 AI177 AI179 AI181 AI183 AF167 AF169 AF171 AF173 AF175 AF177 AF179 AF181 AF183">
    <cfRule type="expression" priority="3" stopIfTrue="1">
      <formula>$AQ167=3</formula>
    </cfRule>
  </conditionalFormatting>
  <conditionalFormatting sqref="AI167 AI169 AI171 AI173 AI175 AI177 AI179 AI181 AI183">
    <cfRule type="expression" dxfId="174" priority="2">
      <formula>$AP167=2</formula>
    </cfRule>
  </conditionalFormatting>
  <dataValidations disablePrompts="1" count="2">
    <dataValidation type="list" allowBlank="1" showInputMessage="1" showErrorMessage="1" sqref="F73:I73 F75:I75 F77:I82 P65:R65 F71:I71 O85:Q85" xr:uid="{63621920-5D12-4DF3-9DE5-C7A0F554523C}">
      <formula1>Shape</formula1>
    </dataValidation>
    <dataValidation type="list" allowBlank="1" showInputMessage="1" showErrorMessage="1" sqref="F65:I65 F85:I85" xr:uid="{D0D1DDA9-E312-4A42-A913-7BF4F8BCDBFA}">
      <formula1>Material</formula1>
    </dataValidation>
  </dataValidations>
  <pageMargins left="0.2" right="0.2" top="0.5" bottom="0.25" header="0.3" footer="0.3"/>
  <pageSetup orientation="portrait" r:id="rId1"/>
  <rowBreaks count="3" manualBreakCount="3">
    <brk id="55" max="16383" man="1"/>
    <brk id="104" max="16383" man="1"/>
    <brk id="148" max="16383" man="1"/>
  </rowBreaks>
  <colBreaks count="1" manualBreakCount="1">
    <brk id="43" max="1048575" man="1"/>
  </colBreaks>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98F1E98-0479-4245-8F54-19F93D4CF78E}">
          <x14:formula1>
            <xm:f>Tables!$C$2:$C$7</xm:f>
          </x14:formula1>
          <xm:sqref>W103:Y104 F74:I74 H103:H104 H52:H55 W201:Y203 H201:H203 W52:Y52 W55:Y55 W147:Y148 H147:H148</xm:sqref>
        </x14:dataValidation>
        <x14:dataValidation type="list" allowBlank="1" showInputMessage="1" showErrorMessage="1" xr:uid="{C2C4810C-2651-4FCD-B8A4-95802102B039}">
          <x14:formula1>
            <xm:f>Tables!$E$2:$E$5</xm:f>
          </x14:formula1>
          <xm:sqref>C75</xm:sqref>
        </x14:dataValidation>
        <x14:dataValidation type="list" allowBlank="1" showInputMessage="1" showErrorMessage="1" xr:uid="{0A75D05C-E913-4A6F-B739-B4602DDB4488}">
          <x14:formula1>
            <xm:f>Tables!$E$2:$E$4</xm:f>
          </x14:formula1>
          <xm:sqref>C77:C82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396C4-A65E-432E-BF87-68B5A022A214}">
  <sheetPr codeName="Sheet9">
    <tabColor theme="7" tint="0.39997558519241921"/>
  </sheetPr>
  <dimension ref="A1:CN117"/>
  <sheetViews>
    <sheetView showGridLines="0" showRowColHeaders="0" showZeros="0" zoomScale="150" zoomScaleNormal="150" workbookViewId="0">
      <selection activeCell="E14" sqref="E14:Y14"/>
    </sheetView>
  </sheetViews>
  <sheetFormatPr defaultColWidth="0" defaultRowHeight="0" customHeight="1" zeroHeight="1" x14ac:dyDescent="0.3"/>
  <cols>
    <col min="1" max="1" width="1.77734375" style="34" customWidth="1"/>
    <col min="2" max="36" width="2.77734375" style="34" customWidth="1"/>
    <col min="37" max="37" width="1.77734375" style="34" customWidth="1"/>
    <col min="38" max="38" width="2.77734375" style="34" customWidth="1"/>
    <col min="39" max="43" width="5.77734375" style="18" hidden="1" customWidth="1"/>
    <col min="44" max="79" width="2.77734375" style="34" customWidth="1"/>
    <col min="80" max="92" width="2.77734375" style="34" hidden="1" customWidth="1"/>
    <col min="93" max="16384" width="8.88671875" style="34" hidden="1"/>
  </cols>
  <sheetData>
    <row r="1" spans="1:88" ht="15" customHeight="1" x14ac:dyDescent="0.3">
      <c r="G1" s="3"/>
      <c r="H1" s="3"/>
      <c r="I1" s="3"/>
      <c r="J1" s="3"/>
      <c r="K1" s="3"/>
      <c r="L1" s="3"/>
      <c r="M1" s="3"/>
      <c r="N1" s="172" t="s">
        <v>403</v>
      </c>
      <c r="O1" s="172"/>
      <c r="P1" s="172"/>
      <c r="Q1" s="172"/>
      <c r="R1" s="172"/>
      <c r="S1" s="172"/>
      <c r="T1" s="172"/>
      <c r="U1" s="172"/>
      <c r="V1" s="172"/>
      <c r="W1" s="172"/>
      <c r="X1" s="172"/>
      <c r="Y1" s="172"/>
      <c r="Z1" s="172"/>
      <c r="AA1" s="172"/>
      <c r="AB1" s="172"/>
      <c r="AC1" s="172"/>
      <c r="AD1" s="172"/>
      <c r="AE1" s="172"/>
      <c r="AF1" s="172"/>
      <c r="AG1" s="172"/>
      <c r="AH1" s="172"/>
      <c r="AI1" s="172"/>
      <c r="AJ1" s="172"/>
      <c r="AK1" s="172"/>
      <c r="BD1" s="172" t="str">
        <f>N1</f>
        <v>Form 2B.2 - Retention Pond
Design Form Attachment</v>
      </c>
      <c r="BE1" s="172"/>
      <c r="BF1" s="172"/>
      <c r="BG1" s="172"/>
      <c r="BH1" s="172"/>
      <c r="BI1" s="172"/>
      <c r="BJ1" s="172"/>
      <c r="BK1" s="172"/>
      <c r="BL1" s="172"/>
      <c r="BM1" s="172"/>
      <c r="BN1" s="172"/>
      <c r="BO1" s="172"/>
      <c r="BP1" s="172"/>
      <c r="BQ1" s="172"/>
      <c r="BR1" s="172"/>
      <c r="BS1" s="172"/>
      <c r="BT1" s="172"/>
      <c r="BU1" s="172"/>
      <c r="BV1" s="172"/>
      <c r="BW1" s="172"/>
      <c r="BX1" s="172"/>
      <c r="BY1" s="172"/>
      <c r="BZ1" s="172"/>
    </row>
    <row r="2" spans="1:88" ht="15" customHeight="1" x14ac:dyDescent="0.3">
      <c r="E2" s="3"/>
      <c r="F2" s="3"/>
      <c r="G2" s="3"/>
      <c r="H2" s="3"/>
      <c r="I2" s="3"/>
      <c r="J2" s="3"/>
      <c r="K2" s="3"/>
      <c r="L2" s="3"/>
      <c r="M2" s="3"/>
      <c r="N2" s="172"/>
      <c r="O2" s="172"/>
      <c r="P2" s="172"/>
      <c r="Q2" s="172"/>
      <c r="R2" s="172"/>
      <c r="S2" s="172"/>
      <c r="T2" s="172"/>
      <c r="U2" s="172"/>
      <c r="V2" s="172"/>
      <c r="W2" s="172"/>
      <c r="X2" s="172"/>
      <c r="Y2" s="172"/>
      <c r="Z2" s="172"/>
      <c r="AA2" s="172"/>
      <c r="AB2" s="172"/>
      <c r="AC2" s="172"/>
      <c r="AD2" s="172"/>
      <c r="AE2" s="172"/>
      <c r="AF2" s="172"/>
      <c r="AG2" s="172"/>
      <c r="AH2" s="172"/>
      <c r="AI2" s="172"/>
      <c r="AJ2" s="172"/>
      <c r="AK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row>
    <row r="3" spans="1:88" ht="15" customHeight="1" x14ac:dyDescent="0.3">
      <c r="E3" s="3"/>
      <c r="F3" s="3"/>
      <c r="G3" s="3"/>
      <c r="H3" s="3"/>
      <c r="I3" s="3"/>
      <c r="J3" s="3"/>
      <c r="K3" s="3"/>
      <c r="L3" s="3"/>
      <c r="M3" s="3"/>
      <c r="N3" s="172"/>
      <c r="O3" s="172"/>
      <c r="P3" s="172"/>
      <c r="Q3" s="172"/>
      <c r="R3" s="172"/>
      <c r="S3" s="172"/>
      <c r="T3" s="172"/>
      <c r="U3" s="172"/>
      <c r="V3" s="172"/>
      <c r="W3" s="172"/>
      <c r="X3" s="172"/>
      <c r="Y3" s="172"/>
      <c r="Z3" s="172"/>
      <c r="AA3" s="172"/>
      <c r="AB3" s="172"/>
      <c r="AC3" s="172"/>
      <c r="AD3" s="172"/>
      <c r="AE3" s="172"/>
      <c r="AF3" s="172"/>
      <c r="AG3" s="172"/>
      <c r="AH3" s="172"/>
      <c r="AI3" s="172"/>
      <c r="AJ3" s="172"/>
      <c r="AK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row>
    <row r="4" spans="1:88" ht="15" customHeight="1" x14ac:dyDescent="0.3">
      <c r="E4" s="3"/>
      <c r="F4" s="3"/>
      <c r="G4" s="3"/>
      <c r="H4" s="3"/>
      <c r="I4" s="3"/>
      <c r="J4" s="3"/>
      <c r="K4" s="3"/>
      <c r="L4" s="3"/>
      <c r="M4" s="3"/>
      <c r="N4" s="172"/>
      <c r="O4" s="172"/>
      <c r="P4" s="172"/>
      <c r="Q4" s="172"/>
      <c r="R4" s="172"/>
      <c r="S4" s="172"/>
      <c r="T4" s="172"/>
      <c r="U4" s="172"/>
      <c r="V4" s="172"/>
      <c r="W4" s="172"/>
      <c r="X4" s="172"/>
      <c r="Y4" s="172"/>
      <c r="Z4" s="172"/>
      <c r="AA4" s="172"/>
      <c r="AB4" s="172"/>
      <c r="AC4" s="172"/>
      <c r="AD4" s="172"/>
      <c r="AE4" s="172"/>
      <c r="AF4" s="172"/>
      <c r="AG4" s="172"/>
      <c r="AH4" s="172"/>
      <c r="AI4" s="172"/>
      <c r="AJ4" s="172"/>
      <c r="AK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row>
    <row r="5" spans="1:88" ht="4.95" customHeight="1" x14ac:dyDescent="0.3">
      <c r="E5" s="3"/>
      <c r="F5" s="3"/>
      <c r="G5" s="3"/>
      <c r="H5" s="3"/>
      <c r="I5" s="3"/>
      <c r="J5" s="3"/>
      <c r="K5" s="3"/>
      <c r="L5" s="3"/>
      <c r="M5" s="3"/>
      <c r="N5" s="3"/>
      <c r="O5" s="3"/>
      <c r="P5" s="3"/>
      <c r="Q5" s="3"/>
      <c r="R5" s="3"/>
      <c r="S5" s="3"/>
      <c r="T5" s="3"/>
      <c r="U5" s="3"/>
      <c r="V5" s="3"/>
      <c r="W5" s="3"/>
      <c r="X5" s="3"/>
      <c r="Y5" s="3"/>
      <c r="Z5" s="3"/>
      <c r="AA5" s="3"/>
      <c r="AB5" s="21"/>
      <c r="AC5" s="21"/>
      <c r="AD5" s="21"/>
      <c r="AE5" s="21"/>
      <c r="AF5" s="21"/>
      <c r="AG5" s="21"/>
      <c r="AH5" s="21"/>
      <c r="AI5" s="21"/>
      <c r="AJ5" s="21"/>
    </row>
    <row r="6" spans="1:88" ht="15" customHeight="1" x14ac:dyDescent="0.3">
      <c r="A6" s="22"/>
      <c r="B6" s="23" t="s">
        <v>121</v>
      </c>
      <c r="C6" s="23"/>
      <c r="D6" s="23"/>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5"/>
      <c r="AR6" s="171" t="s">
        <v>72</v>
      </c>
      <c r="AS6" s="171"/>
      <c r="AT6" s="171"/>
      <c r="AU6" s="171"/>
      <c r="AV6" s="171"/>
      <c r="AW6" s="171"/>
      <c r="AX6" s="171"/>
      <c r="AY6" s="171"/>
      <c r="AZ6" s="171"/>
      <c r="BA6" s="171"/>
      <c r="BB6" s="171"/>
      <c r="BC6" s="171"/>
      <c r="BD6" s="171"/>
      <c r="BE6" s="171"/>
      <c r="BF6" s="171"/>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row>
    <row r="7" spans="1:88" ht="15" customHeight="1" x14ac:dyDescent="0.3">
      <c r="A7" s="26"/>
      <c r="B7" s="13" t="s">
        <v>62</v>
      </c>
      <c r="C7" s="13"/>
      <c r="D7" s="13"/>
      <c r="E7" s="209"/>
      <c r="F7" s="209"/>
      <c r="G7" s="209"/>
      <c r="H7" s="209"/>
      <c r="I7" s="209"/>
      <c r="J7" s="209"/>
      <c r="K7" s="209"/>
      <c r="L7" s="209"/>
      <c r="M7" s="209"/>
      <c r="N7" s="209"/>
      <c r="O7" s="209"/>
      <c r="P7" s="209"/>
      <c r="Q7" s="209"/>
      <c r="R7" s="209"/>
      <c r="S7" s="209"/>
      <c r="T7" s="209"/>
      <c r="U7" s="209"/>
      <c r="V7" s="209"/>
      <c r="W7" s="209"/>
      <c r="X7" s="209"/>
      <c r="Y7" s="13"/>
      <c r="Z7" s="13"/>
      <c r="AA7" s="13"/>
      <c r="AB7" s="13"/>
      <c r="AC7" s="13"/>
      <c r="AD7" s="27" t="s">
        <v>21</v>
      </c>
      <c r="AE7" s="210"/>
      <c r="AF7" s="210"/>
      <c r="AG7" s="210"/>
      <c r="AH7" s="210"/>
      <c r="AI7" s="210"/>
      <c r="AJ7" s="210"/>
      <c r="AK7" s="28"/>
      <c r="AR7" s="171"/>
      <c r="AS7" s="171"/>
      <c r="AT7" s="171"/>
      <c r="AU7" s="171"/>
      <c r="AV7" s="171"/>
      <c r="AW7" s="171"/>
      <c r="AX7" s="171"/>
      <c r="AY7" s="171"/>
      <c r="AZ7" s="171"/>
      <c r="BA7" s="171"/>
      <c r="BB7" s="171"/>
      <c r="BC7" s="171"/>
      <c r="BD7" s="171"/>
      <c r="BE7" s="171"/>
      <c r="BF7" s="171"/>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row>
    <row r="8" spans="1:88" ht="4.95" customHeight="1" x14ac:dyDescent="0.3">
      <c r="A8" s="26"/>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7"/>
      <c r="AG8" s="15"/>
      <c r="AH8" s="15"/>
      <c r="AI8" s="15"/>
      <c r="AJ8" s="15"/>
      <c r="AK8" s="28"/>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row>
    <row r="9" spans="1:88" ht="15" customHeight="1" x14ac:dyDescent="0.3">
      <c r="A9" s="26"/>
      <c r="B9" s="13" t="s">
        <v>22</v>
      </c>
      <c r="C9" s="13"/>
      <c r="D9" s="13"/>
      <c r="E9" s="13"/>
      <c r="F9" s="13"/>
      <c r="G9" s="113"/>
      <c r="H9" s="13" t="s">
        <v>130</v>
      </c>
      <c r="I9" s="13"/>
      <c r="J9" s="13"/>
      <c r="K9" s="13"/>
      <c r="L9" s="13"/>
      <c r="M9" s="13"/>
      <c r="N9" s="113"/>
      <c r="O9" s="13" t="s">
        <v>131</v>
      </c>
      <c r="P9" s="13"/>
      <c r="Q9" s="13"/>
      <c r="R9" s="13"/>
      <c r="S9" s="13"/>
      <c r="T9" s="13"/>
      <c r="U9" s="13"/>
      <c r="V9" s="13"/>
      <c r="W9" s="113"/>
      <c r="X9" s="13" t="s">
        <v>132</v>
      </c>
      <c r="Y9" s="13"/>
      <c r="Z9" s="13"/>
      <c r="AA9" s="13"/>
      <c r="AB9" s="13"/>
      <c r="AC9" s="113"/>
      <c r="AD9" s="13" t="s">
        <v>133</v>
      </c>
      <c r="AE9" s="13"/>
      <c r="AF9" s="13"/>
      <c r="AG9" s="13"/>
      <c r="AH9" s="13"/>
      <c r="AI9" s="13"/>
      <c r="AJ9" s="13"/>
      <c r="AK9" s="28"/>
      <c r="AR9" s="19">
        <v>1</v>
      </c>
      <c r="AS9" s="111" t="s">
        <v>382</v>
      </c>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38"/>
      <c r="BV9" s="138"/>
      <c r="BW9" s="138"/>
      <c r="BX9" s="138"/>
      <c r="BY9" s="138"/>
      <c r="BZ9" s="138"/>
      <c r="CA9" s="138"/>
      <c r="CB9" s="138"/>
      <c r="CC9" s="138"/>
      <c r="CD9" s="138"/>
      <c r="CE9" s="138"/>
      <c r="CF9" s="138"/>
      <c r="CG9" s="138"/>
      <c r="CH9" s="138"/>
      <c r="CI9" s="138"/>
      <c r="CJ9" s="139"/>
    </row>
    <row r="10" spans="1:88" ht="4.95" customHeight="1" x14ac:dyDescent="0.3">
      <c r="A10" s="26"/>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28"/>
      <c r="AR10" s="112"/>
      <c r="AS10" s="112"/>
      <c r="BU10" s="31"/>
      <c r="BV10" s="31"/>
      <c r="BW10" s="31"/>
      <c r="BX10" s="31"/>
      <c r="BY10" s="31"/>
      <c r="BZ10" s="31"/>
      <c r="CA10" s="31"/>
      <c r="CB10" s="31"/>
      <c r="CC10" s="31"/>
      <c r="CD10" s="31"/>
      <c r="CE10" s="31"/>
      <c r="CF10" s="31"/>
      <c r="CG10" s="31"/>
      <c r="CH10" s="31"/>
      <c r="CI10" s="31"/>
      <c r="CJ10" s="31"/>
    </row>
    <row r="11" spans="1:88" ht="15" customHeight="1" x14ac:dyDescent="0.3">
      <c r="A11" s="26"/>
      <c r="B11" s="13" t="s">
        <v>23</v>
      </c>
      <c r="C11" s="13"/>
      <c r="D11" s="13"/>
      <c r="E11" s="13"/>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8"/>
      <c r="AR11" s="112"/>
      <c r="AS11" s="19" t="s">
        <v>98</v>
      </c>
      <c r="AT11" s="76" t="s">
        <v>383</v>
      </c>
      <c r="CJ11" s="30"/>
    </row>
    <row r="12" spans="1:88" ht="4.95" customHeight="1" x14ac:dyDescent="0.3">
      <c r="A12" s="3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33"/>
      <c r="AR12" s="138"/>
      <c r="AS12" s="91"/>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38"/>
      <c r="BV12" s="138"/>
      <c r="BW12" s="138"/>
      <c r="BX12" s="138"/>
      <c r="BY12" s="138"/>
      <c r="BZ12" s="138"/>
      <c r="CA12" s="138"/>
      <c r="CB12" s="138"/>
      <c r="CC12" s="138"/>
      <c r="CD12" s="138"/>
      <c r="CE12" s="138"/>
      <c r="CF12" s="138"/>
      <c r="CG12" s="138"/>
      <c r="CH12" s="138"/>
      <c r="CI12" s="138"/>
      <c r="CJ12" s="30"/>
    </row>
    <row r="13" spans="1:88" ht="15" customHeight="1" x14ac:dyDescent="0.3">
      <c r="B13" s="1" t="s">
        <v>207</v>
      </c>
      <c r="C13" s="1"/>
      <c r="D13" s="1"/>
      <c r="AS13" s="4" t="s">
        <v>99</v>
      </c>
      <c r="AT13" s="76" t="s">
        <v>384</v>
      </c>
      <c r="AU13" s="19"/>
      <c r="CJ13" s="138"/>
    </row>
    <row r="14" spans="1:88" ht="15" customHeight="1" x14ac:dyDescent="0.3">
      <c r="D14" s="2" t="s">
        <v>144</v>
      </c>
      <c r="E14" s="181"/>
      <c r="F14" s="181"/>
      <c r="G14" s="181"/>
      <c r="H14" s="181"/>
      <c r="I14" s="181"/>
      <c r="J14" s="181"/>
      <c r="K14" s="181"/>
      <c r="L14" s="181"/>
      <c r="M14" s="181"/>
      <c r="N14" s="181"/>
      <c r="O14" s="181"/>
      <c r="P14" s="181"/>
      <c r="Q14" s="181"/>
      <c r="R14" s="181"/>
      <c r="S14" s="181"/>
      <c r="T14" s="181"/>
      <c r="U14" s="181"/>
      <c r="V14" s="181"/>
      <c r="W14" s="181"/>
      <c r="X14" s="181"/>
      <c r="Y14" s="181"/>
      <c r="AD14" s="2" t="s">
        <v>208</v>
      </c>
      <c r="AE14" s="178"/>
      <c r="AF14" s="178"/>
      <c r="AG14" s="178"/>
      <c r="AH14" s="178"/>
      <c r="AI14" s="178"/>
      <c r="AJ14" s="178"/>
      <c r="AR14" s="19"/>
      <c r="AS14" s="4" t="s">
        <v>111</v>
      </c>
      <c r="AT14" s="34" t="s">
        <v>385</v>
      </c>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30"/>
      <c r="BV14" s="30"/>
      <c r="BW14" s="30"/>
      <c r="BX14" s="30"/>
      <c r="BY14" s="30"/>
      <c r="BZ14" s="30"/>
      <c r="CA14" s="30"/>
      <c r="CB14" s="30"/>
      <c r="CC14" s="30"/>
      <c r="CD14" s="30"/>
      <c r="CE14" s="30"/>
      <c r="CF14" s="30"/>
      <c r="CG14" s="30"/>
      <c r="CH14" s="30"/>
      <c r="CI14" s="30"/>
      <c r="CJ14" s="140"/>
    </row>
    <row r="15" spans="1:88" ht="15" customHeight="1" x14ac:dyDescent="0.3">
      <c r="D15" s="2" t="s">
        <v>145</v>
      </c>
      <c r="E15" s="182"/>
      <c r="F15" s="182"/>
      <c r="G15" s="182"/>
      <c r="H15" s="182"/>
      <c r="I15" s="182"/>
      <c r="J15" s="182"/>
      <c r="K15" s="182"/>
      <c r="L15" s="182"/>
      <c r="M15" s="182"/>
      <c r="N15" s="182"/>
      <c r="O15" s="182"/>
      <c r="P15" s="182"/>
      <c r="Q15" s="182"/>
      <c r="R15" s="182"/>
      <c r="S15" s="182"/>
      <c r="T15" s="182"/>
      <c r="U15" s="182"/>
      <c r="V15" s="182"/>
      <c r="W15" s="182"/>
      <c r="X15" s="182"/>
      <c r="Y15" s="182"/>
      <c r="AB15" s="2"/>
      <c r="AD15" s="2" t="s">
        <v>210</v>
      </c>
      <c r="AE15" s="211"/>
      <c r="AF15" s="211"/>
      <c r="AG15" s="211"/>
      <c r="AH15" s="211"/>
      <c r="AI15" s="211"/>
      <c r="AJ15" s="211"/>
      <c r="AR15" s="19"/>
      <c r="AS15" s="4" t="s">
        <v>112</v>
      </c>
      <c r="AT15" s="34" t="s">
        <v>406</v>
      </c>
      <c r="AU15" s="19"/>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38"/>
      <c r="BV15" s="138"/>
      <c r="BW15" s="138"/>
      <c r="BX15" s="138"/>
      <c r="BY15" s="138"/>
      <c r="BZ15" s="138"/>
      <c r="CA15" s="138"/>
      <c r="CB15" s="138"/>
      <c r="CC15" s="138"/>
      <c r="CD15" s="138"/>
      <c r="CE15" s="138"/>
      <c r="CF15" s="138"/>
      <c r="CG15" s="138"/>
      <c r="CH15" s="138"/>
      <c r="CI15" s="138"/>
      <c r="CJ15" s="30"/>
    </row>
    <row r="16" spans="1:88" ht="15" customHeight="1" x14ac:dyDescent="0.3">
      <c r="C16" s="14"/>
      <c r="D16" s="2" t="s">
        <v>301</v>
      </c>
      <c r="E16" s="182"/>
      <c r="F16" s="182"/>
      <c r="G16" s="182"/>
      <c r="H16" s="182"/>
      <c r="I16" s="182"/>
      <c r="J16" s="182"/>
      <c r="K16" s="182"/>
      <c r="L16" s="74"/>
      <c r="M16" s="74"/>
      <c r="N16" s="132" t="s">
        <v>148</v>
      </c>
      <c r="O16" s="182"/>
      <c r="P16" s="182"/>
      <c r="Q16" s="182"/>
      <c r="R16" s="182"/>
      <c r="S16" s="74"/>
      <c r="T16" s="74"/>
      <c r="U16" s="74"/>
      <c r="V16" s="132" t="s">
        <v>149</v>
      </c>
      <c r="W16" s="179"/>
      <c r="X16" s="179"/>
      <c r="Y16" s="179"/>
      <c r="Z16" s="14"/>
      <c r="AA16" s="14"/>
      <c r="AC16" s="14"/>
      <c r="AD16" s="2" t="s">
        <v>211</v>
      </c>
      <c r="AE16" s="212"/>
      <c r="AF16" s="212"/>
      <c r="AG16" s="212"/>
      <c r="AH16" s="212"/>
      <c r="AI16" s="212"/>
      <c r="AJ16" s="212"/>
      <c r="AR16" s="19"/>
      <c r="AS16" s="19"/>
      <c r="AU16" s="19"/>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38"/>
      <c r="BV16" s="138"/>
      <c r="BW16" s="138"/>
      <c r="BX16" s="138"/>
      <c r="BY16" s="138"/>
      <c r="BZ16" s="138"/>
      <c r="CA16" s="138"/>
      <c r="CB16" s="138"/>
      <c r="CC16" s="138"/>
      <c r="CD16" s="138"/>
      <c r="CE16" s="138"/>
      <c r="CF16" s="138"/>
      <c r="CG16" s="138"/>
      <c r="CH16" s="138"/>
      <c r="CI16" s="138"/>
    </row>
    <row r="17" spans="2:88" ht="15" customHeight="1" x14ac:dyDescent="0.3">
      <c r="C17" s="14"/>
      <c r="D17" s="2" t="s">
        <v>212</v>
      </c>
      <c r="E17" s="182"/>
      <c r="F17" s="182"/>
      <c r="G17" s="182"/>
      <c r="H17" s="182"/>
      <c r="I17" s="182"/>
      <c r="J17" s="182"/>
      <c r="K17" s="182"/>
      <c r="L17" s="181"/>
      <c r="M17" s="181"/>
      <c r="N17" s="181"/>
      <c r="O17" s="182"/>
      <c r="P17" s="182"/>
      <c r="Q17" s="182"/>
      <c r="R17" s="182"/>
      <c r="S17" s="181"/>
      <c r="T17" s="181"/>
      <c r="U17" s="181"/>
      <c r="V17" s="181"/>
      <c r="W17" s="182"/>
      <c r="X17" s="182"/>
      <c r="Y17" s="182"/>
      <c r="Z17" s="14"/>
      <c r="AA17" s="14"/>
      <c r="AC17" s="14"/>
      <c r="AE17" s="74"/>
      <c r="AF17" s="74"/>
      <c r="AG17" s="74"/>
      <c r="AH17" s="74"/>
      <c r="AI17" s="74"/>
      <c r="AJ17" s="74"/>
      <c r="AR17" s="152" t="s">
        <v>454</v>
      </c>
      <c r="AS17" s="76" t="s">
        <v>455</v>
      </c>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30"/>
      <c r="BV17" s="30"/>
      <c r="BW17" s="30"/>
      <c r="BX17" s="30"/>
      <c r="BY17" s="30"/>
      <c r="BZ17" s="30"/>
      <c r="CA17" s="30"/>
      <c r="CB17" s="30"/>
      <c r="CC17" s="30"/>
      <c r="CD17" s="30"/>
      <c r="CE17" s="30"/>
      <c r="CF17" s="30"/>
      <c r="CG17" s="30"/>
      <c r="CH17" s="30"/>
      <c r="CI17" s="30"/>
      <c r="CJ17" s="30"/>
    </row>
    <row r="18" spans="2:88" ht="15" customHeight="1" x14ac:dyDescent="0.3">
      <c r="C18" s="14"/>
      <c r="D18" s="2" t="s">
        <v>146</v>
      </c>
      <c r="E18" s="213"/>
      <c r="F18" s="182"/>
      <c r="G18" s="182"/>
      <c r="H18" s="182"/>
      <c r="I18" s="182"/>
      <c r="J18" s="182"/>
      <c r="K18" s="182"/>
      <c r="L18" s="182"/>
      <c r="M18" s="182"/>
      <c r="N18" s="182"/>
      <c r="O18" s="182"/>
      <c r="P18" s="182"/>
      <c r="Q18" s="182"/>
      <c r="R18" s="182"/>
      <c r="S18" s="182"/>
      <c r="T18" s="182"/>
      <c r="U18" s="182"/>
      <c r="V18" s="182"/>
      <c r="W18" s="182"/>
      <c r="X18" s="182"/>
      <c r="Y18" s="182"/>
      <c r="Z18" s="14"/>
      <c r="AA18" s="14"/>
      <c r="AC18" s="14"/>
      <c r="AD18" s="2" t="s">
        <v>150</v>
      </c>
      <c r="AE18" s="214"/>
      <c r="AF18" s="214"/>
      <c r="AG18" s="214"/>
      <c r="AH18" s="214"/>
      <c r="AI18" s="214"/>
      <c r="AJ18" s="214"/>
      <c r="AM18" s="118">
        <f>IF(AND(ISBLANK(V24),ISBLANK(Y24)),0,1)</f>
        <v>0</v>
      </c>
      <c r="AN18" s="118">
        <f>IF(ISBLANK(V24),0,1)</f>
        <v>0</v>
      </c>
      <c r="AO18" s="118">
        <f>IF(ISBLANK(Y24),0,2)</f>
        <v>0</v>
      </c>
      <c r="AP18" s="118">
        <f>IF(ISBLANK(V24),1,IF(ISBLANK(Y24),2,3))</f>
        <v>1</v>
      </c>
      <c r="AQ18" s="118">
        <f>SUM(AN18:AO18)</f>
        <v>0</v>
      </c>
      <c r="AS18" s="4"/>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30"/>
      <c r="BV18" s="30"/>
      <c r="BW18" s="30"/>
      <c r="BX18" s="30"/>
      <c r="BY18" s="30"/>
      <c r="BZ18" s="30"/>
      <c r="CA18" s="30"/>
      <c r="CB18" s="30"/>
      <c r="CC18" s="30"/>
      <c r="CD18" s="30"/>
      <c r="CE18" s="30"/>
      <c r="CF18" s="30"/>
      <c r="CG18" s="30"/>
      <c r="CH18" s="30"/>
      <c r="CI18" s="30"/>
      <c r="CJ18" s="30"/>
    </row>
    <row r="19" spans="2:88" ht="4.95" customHeight="1" x14ac:dyDescent="0.3">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30"/>
      <c r="BV19" s="30"/>
      <c r="BW19" s="30"/>
      <c r="BX19" s="30"/>
      <c r="BY19" s="30"/>
      <c r="BZ19" s="30"/>
      <c r="CA19" s="30"/>
      <c r="CB19" s="30"/>
      <c r="CC19" s="30"/>
      <c r="CD19" s="30"/>
      <c r="CE19" s="30"/>
      <c r="CF19" s="30"/>
      <c r="CG19" s="30"/>
      <c r="CH19" s="30"/>
      <c r="CI19" s="30"/>
      <c r="CJ19" s="30"/>
    </row>
    <row r="20" spans="2:88" ht="15" customHeight="1" x14ac:dyDescent="0.3">
      <c r="C20" s="2"/>
      <c r="E20" s="2" t="s">
        <v>223</v>
      </c>
      <c r="F20" s="66"/>
      <c r="G20" s="34" t="s">
        <v>386</v>
      </c>
      <c r="M20" s="141"/>
      <c r="U20" s="2" t="s">
        <v>387</v>
      </c>
      <c r="V20" s="66"/>
      <c r="W20" s="14" t="s">
        <v>388</v>
      </c>
      <c r="AG20" s="2" t="s">
        <v>389</v>
      </c>
      <c r="AH20" s="176"/>
      <c r="AI20" s="176"/>
      <c r="AM20" s="118">
        <f>IF(AND(ISBLANK(V20),ISBLANK(V22)),0,1)</f>
        <v>0</v>
      </c>
      <c r="AN20" s="118">
        <f>IF(ISBLANK(V20),0,1)</f>
        <v>0</v>
      </c>
      <c r="AO20" s="118">
        <f>IF(ISBLANK(V22),0,1)</f>
        <v>0</v>
      </c>
      <c r="AP20" s="118">
        <f>IF(ISBLANK(V20),1,IF(ISBLANK(V22),2,3))</f>
        <v>1</v>
      </c>
      <c r="AS20" s="4"/>
    </row>
    <row r="21" spans="2:88" ht="4.95" customHeight="1" x14ac:dyDescent="0.3">
      <c r="C21" s="2"/>
      <c r="D21" s="2"/>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30"/>
      <c r="BV21" s="30"/>
      <c r="BW21" s="30"/>
      <c r="BX21" s="30"/>
      <c r="BY21" s="30"/>
      <c r="BZ21" s="30"/>
      <c r="CA21" s="30"/>
      <c r="CB21" s="30"/>
      <c r="CC21" s="30"/>
      <c r="CD21" s="30"/>
      <c r="CE21" s="30"/>
      <c r="CF21" s="30"/>
      <c r="CG21" s="30"/>
      <c r="CH21" s="30"/>
      <c r="CI21" s="30"/>
      <c r="CJ21" s="30"/>
    </row>
    <row r="22" spans="2:88" ht="15" customHeight="1" x14ac:dyDescent="0.3">
      <c r="F22" s="66"/>
      <c r="G22" s="34" t="s">
        <v>390</v>
      </c>
      <c r="V22" s="66"/>
      <c r="W22" s="14" t="s">
        <v>391</v>
      </c>
      <c r="AG22" s="2" t="s">
        <v>392</v>
      </c>
      <c r="AH22" s="176"/>
      <c r="AI22" s="176"/>
      <c r="AM22" s="118">
        <f>IF(ISBLANK(V20),0,1)</f>
        <v>0</v>
      </c>
      <c r="AN22" s="118">
        <f>IF(ISBLANK(V22),0,2)</f>
        <v>0</v>
      </c>
      <c r="AO22" s="118">
        <f>SUM(AM22:AN22)</f>
        <v>0</v>
      </c>
      <c r="AS22" s="4"/>
      <c r="AT22" s="76"/>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30"/>
      <c r="BV22" s="30"/>
      <c r="BW22" s="30"/>
      <c r="BX22" s="30"/>
      <c r="BY22" s="30"/>
      <c r="BZ22" s="30"/>
      <c r="CA22" s="30"/>
      <c r="CB22" s="30"/>
      <c r="CC22" s="30"/>
      <c r="CD22" s="30"/>
      <c r="CE22" s="30"/>
      <c r="CF22" s="30"/>
      <c r="CG22" s="30"/>
      <c r="CH22" s="30"/>
      <c r="CI22" s="30"/>
      <c r="CJ22" s="30"/>
    </row>
    <row r="23" spans="2:88" ht="4.95" customHeight="1" x14ac:dyDescent="0.3">
      <c r="AE23" s="2"/>
      <c r="AF23" s="2"/>
      <c r="AG23" s="2"/>
      <c r="AH23" s="2"/>
      <c r="AI23" s="2"/>
      <c r="AK23" s="2"/>
      <c r="AL23" s="2"/>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30"/>
      <c r="BV23" s="30"/>
      <c r="BW23" s="30"/>
      <c r="BX23" s="30"/>
      <c r="BY23" s="30"/>
      <c r="BZ23" s="30"/>
      <c r="CA23" s="30"/>
      <c r="CB23" s="30"/>
      <c r="CC23" s="30"/>
      <c r="CD23" s="30"/>
      <c r="CE23" s="30"/>
      <c r="CF23" s="30"/>
      <c r="CG23" s="30"/>
      <c r="CH23" s="30"/>
      <c r="CI23" s="30"/>
      <c r="CJ23" s="30"/>
    </row>
    <row r="24" spans="2:88" ht="15" customHeight="1" x14ac:dyDescent="0.3">
      <c r="U24" s="2" t="s">
        <v>177</v>
      </c>
      <c r="V24" s="66"/>
      <c r="W24" s="14" t="s">
        <v>394</v>
      </c>
      <c r="X24" s="142"/>
      <c r="Y24" s="66"/>
      <c r="Z24" s="14" t="s">
        <v>395</v>
      </c>
      <c r="AK24" s="2"/>
      <c r="AL24" s="2"/>
      <c r="AR24" s="19"/>
      <c r="AS24" s="133"/>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30"/>
      <c r="BV24" s="30"/>
      <c r="BW24" s="30"/>
      <c r="BX24" s="30"/>
      <c r="BY24" s="30"/>
      <c r="BZ24" s="30"/>
      <c r="CA24" s="30"/>
      <c r="CB24" s="30"/>
      <c r="CC24" s="30"/>
      <c r="CD24" s="30"/>
      <c r="CE24" s="30"/>
      <c r="CF24" s="30"/>
      <c r="CG24" s="30"/>
      <c r="CH24" s="30"/>
      <c r="CI24" s="30"/>
      <c r="CJ24" s="30"/>
    </row>
    <row r="25" spans="2:88" ht="4.95" customHeight="1" x14ac:dyDescent="0.3">
      <c r="B25" s="2"/>
      <c r="C25" s="2"/>
      <c r="D25" s="2"/>
      <c r="E25" s="2"/>
      <c r="F25" s="2"/>
      <c r="G25" s="2"/>
      <c r="AE25" s="2"/>
      <c r="AF25" s="2"/>
      <c r="AG25" s="2"/>
      <c r="AH25" s="2"/>
      <c r="AI25" s="2"/>
      <c r="AJ25" s="2"/>
      <c r="AK25" s="2"/>
      <c r="AL25" s="2"/>
      <c r="AR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30"/>
      <c r="BV25" s="30"/>
      <c r="BW25" s="30"/>
      <c r="BX25" s="30"/>
      <c r="BY25" s="30"/>
      <c r="BZ25" s="30"/>
      <c r="CA25" s="30"/>
      <c r="CB25" s="30"/>
      <c r="CC25" s="30"/>
      <c r="CD25" s="30"/>
      <c r="CE25" s="30"/>
      <c r="CF25" s="30"/>
      <c r="CG25" s="30"/>
      <c r="CH25" s="30"/>
      <c r="CI25" s="30"/>
      <c r="CJ25" s="30"/>
    </row>
    <row r="26" spans="2:88" ht="15" customHeight="1" x14ac:dyDescent="0.3">
      <c r="B26" s="66"/>
      <c r="C26" s="34" t="s">
        <v>129</v>
      </c>
      <c r="E26" s="66"/>
      <c r="F26" s="34" t="s">
        <v>128</v>
      </c>
      <c r="G26" s="2"/>
      <c r="H26" s="34" t="s">
        <v>433</v>
      </c>
      <c r="AE26" s="2"/>
      <c r="AK26" s="2"/>
      <c r="AL26" s="2"/>
      <c r="AM26" s="118">
        <f>IF(AND(ISBLANK(B26),ISBLANK(E26)),1,2)</f>
        <v>1</v>
      </c>
      <c r="AN26" s="118">
        <f>IF(ISBLANK(B26),1,2)</f>
        <v>1</v>
      </c>
      <c r="AO26" s="118">
        <f>IF(ISBLANK(B26),0,2)</f>
        <v>0</v>
      </c>
      <c r="AP26" s="118">
        <f>IF(ISBLANK(B26),1,IF(ISBLANK(E26),2,3))</f>
        <v>1</v>
      </c>
      <c r="AR26" s="19"/>
      <c r="AU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30"/>
      <c r="BV26" s="30"/>
      <c r="BW26" s="30"/>
      <c r="BX26" s="30"/>
      <c r="BY26" s="30"/>
      <c r="BZ26" s="30"/>
      <c r="CA26" s="30"/>
      <c r="CB26" s="30"/>
      <c r="CC26" s="30"/>
      <c r="CD26" s="30"/>
      <c r="CE26" s="30"/>
      <c r="CF26" s="30"/>
      <c r="CG26" s="30"/>
      <c r="CH26" s="30"/>
      <c r="CI26" s="30"/>
      <c r="CJ26" s="30"/>
    </row>
    <row r="27" spans="2:88" ht="4.95" customHeight="1" x14ac:dyDescent="0.3">
      <c r="B27" s="2"/>
      <c r="C27" s="2"/>
      <c r="D27" s="2"/>
      <c r="E27" s="2"/>
      <c r="F27" s="2"/>
      <c r="G27" s="2"/>
      <c r="AE27" s="2"/>
      <c r="AF27" s="2"/>
      <c r="AG27" s="2"/>
      <c r="AH27" s="2"/>
      <c r="AI27" s="2"/>
      <c r="AJ27" s="2"/>
      <c r="AK27" s="2"/>
      <c r="AL27" s="2"/>
      <c r="AR27" s="19"/>
      <c r="AS27" s="19"/>
      <c r="AT27" s="76"/>
      <c r="AU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30"/>
      <c r="BV27" s="30"/>
      <c r="BW27" s="30"/>
      <c r="BX27" s="30"/>
      <c r="BY27" s="30"/>
      <c r="BZ27" s="30"/>
      <c r="CA27" s="30"/>
      <c r="CB27" s="30"/>
      <c r="CC27" s="30"/>
      <c r="CD27" s="30"/>
      <c r="CE27" s="30"/>
      <c r="CF27" s="30"/>
      <c r="CG27" s="30"/>
      <c r="CH27" s="30"/>
      <c r="CI27" s="30"/>
      <c r="CJ27" s="30"/>
    </row>
    <row r="28" spans="2:88" ht="15" customHeight="1" x14ac:dyDescent="0.3">
      <c r="B28" s="66"/>
      <c r="C28" s="34" t="s">
        <v>129</v>
      </c>
      <c r="E28" s="66"/>
      <c r="F28" s="34" t="s">
        <v>128</v>
      </c>
      <c r="G28" s="2"/>
      <c r="H28" s="34" t="s">
        <v>393</v>
      </c>
      <c r="AK28" s="2"/>
      <c r="AL28" s="2"/>
      <c r="AM28" s="118">
        <f>IF(AND(ISBLANK(B28),ISBLANK(E28)),1,2)</f>
        <v>1</v>
      </c>
      <c r="AN28" s="118">
        <f>IF(ISBLANK(B28),1,2)</f>
        <v>1</v>
      </c>
      <c r="AO28" s="118">
        <f>IF(ISBLANK(B28),0,2)</f>
        <v>0</v>
      </c>
      <c r="AP28" s="118">
        <f>IF(ISBLANK(B28),1,IF(ISBLANK(E28),2,3))</f>
        <v>1</v>
      </c>
      <c r="AR28" s="30"/>
      <c r="AS28" s="19"/>
      <c r="AT28" s="76"/>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30"/>
      <c r="BV28" s="30"/>
      <c r="BW28" s="30"/>
      <c r="BX28" s="30"/>
      <c r="BY28" s="30"/>
      <c r="BZ28" s="30"/>
      <c r="CA28" s="30"/>
      <c r="CB28" s="30"/>
      <c r="CC28" s="30"/>
      <c r="CD28" s="30"/>
      <c r="CE28" s="30"/>
      <c r="CF28" s="30"/>
      <c r="CG28" s="30"/>
      <c r="CH28" s="30"/>
      <c r="CI28" s="30"/>
      <c r="CJ28" s="30"/>
    </row>
    <row r="29" spans="2:88" ht="4.95" customHeight="1" x14ac:dyDescent="0.3">
      <c r="B29" s="2"/>
      <c r="C29" s="2"/>
      <c r="D29" s="2"/>
      <c r="E29" s="2"/>
      <c r="F29" s="2"/>
      <c r="G29" s="2"/>
      <c r="AE29" s="2"/>
      <c r="AF29" s="2"/>
      <c r="AG29" s="2"/>
      <c r="AH29" s="2"/>
      <c r="AI29" s="2"/>
      <c r="AJ29" s="2"/>
      <c r="AK29" s="2"/>
      <c r="AL29" s="2"/>
      <c r="AR29" s="30"/>
      <c r="AS29" s="19"/>
      <c r="AT29" s="76"/>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30"/>
      <c r="BV29" s="30"/>
      <c r="BW29" s="30"/>
      <c r="BX29" s="30"/>
      <c r="BY29" s="30"/>
      <c r="BZ29" s="30"/>
      <c r="CA29" s="30"/>
      <c r="CB29" s="30"/>
      <c r="CC29" s="30"/>
      <c r="CD29" s="30"/>
      <c r="CE29" s="30"/>
      <c r="CF29" s="30"/>
      <c r="CG29" s="30"/>
      <c r="CH29" s="30"/>
      <c r="CI29" s="30"/>
      <c r="CJ29" s="30"/>
    </row>
    <row r="30" spans="2:88" ht="15" customHeight="1" x14ac:dyDescent="0.3">
      <c r="B30" s="66"/>
      <c r="C30" s="34" t="s">
        <v>129</v>
      </c>
      <c r="E30" s="66"/>
      <c r="F30" s="34" t="s">
        <v>128</v>
      </c>
      <c r="G30" s="2"/>
      <c r="H30" s="34" t="s">
        <v>416</v>
      </c>
      <c r="AJ30" s="2"/>
      <c r="AK30" s="2"/>
      <c r="AL30" s="2"/>
      <c r="AM30" s="118">
        <f>IF(AND(ISBLANK(B30),ISBLANK(E30)),1,2)</f>
        <v>1</v>
      </c>
      <c r="AN30" s="118">
        <f>IF(ISBLANK(B30),1,2)</f>
        <v>1</v>
      </c>
      <c r="AO30" s="118">
        <f>IF(ISBLANK(B30),0,2)</f>
        <v>0</v>
      </c>
      <c r="AP30" s="118">
        <f>IF(ISBLANK(B30),1,IF(ISBLANK(E30),2,3))</f>
        <v>1</v>
      </c>
      <c r="AR30" s="30"/>
      <c r="AS30" s="19"/>
      <c r="AT30" s="76"/>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30"/>
      <c r="BV30" s="30"/>
      <c r="BW30" s="30"/>
      <c r="BX30" s="30"/>
      <c r="BY30" s="30"/>
      <c r="BZ30" s="30"/>
      <c r="CA30" s="30"/>
      <c r="CB30" s="30"/>
      <c r="CC30" s="30"/>
      <c r="CD30" s="30"/>
      <c r="CE30" s="30"/>
      <c r="CF30" s="30"/>
      <c r="CG30" s="30"/>
      <c r="CH30" s="30"/>
      <c r="CI30" s="30"/>
      <c r="CJ30" s="30"/>
    </row>
    <row r="31" spans="2:88" ht="4.95" customHeight="1" x14ac:dyDescent="0.3">
      <c r="B31" s="2"/>
      <c r="C31" s="2"/>
      <c r="D31" s="2"/>
      <c r="E31" s="2"/>
      <c r="F31" s="2"/>
      <c r="G31" s="2"/>
      <c r="AE31" s="2"/>
      <c r="AF31" s="2"/>
      <c r="AG31" s="2"/>
      <c r="AJ31" s="2"/>
      <c r="AK31" s="2"/>
      <c r="AL31" s="2"/>
      <c r="AR31" s="30"/>
      <c r="AS31" s="19"/>
      <c r="AT31" s="76"/>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30"/>
      <c r="BV31" s="30"/>
      <c r="BW31" s="30"/>
      <c r="BX31" s="30"/>
      <c r="BY31" s="30"/>
      <c r="BZ31" s="30"/>
      <c r="CA31" s="30"/>
      <c r="CB31" s="30"/>
      <c r="CC31" s="30"/>
      <c r="CD31" s="30"/>
      <c r="CE31" s="30"/>
      <c r="CF31" s="30"/>
      <c r="CG31" s="30"/>
      <c r="CH31" s="30"/>
      <c r="CI31" s="30"/>
      <c r="CJ31" s="30"/>
    </row>
    <row r="32" spans="2:88" ht="15" customHeight="1" x14ac:dyDescent="0.3">
      <c r="B32" s="2"/>
      <c r="C32" s="2"/>
      <c r="D32" s="2"/>
      <c r="E32" s="2"/>
      <c r="F32" s="2"/>
      <c r="G32" s="2"/>
      <c r="K32" s="185" t="str">
        <f>IF($AO$22=1,"Phase",IF($AO$22=2,"Lot","Type?"))</f>
        <v>Type?</v>
      </c>
      <c r="L32" s="185"/>
      <c r="M32" s="185"/>
      <c r="R32" s="34" t="s">
        <v>452</v>
      </c>
      <c r="Y32" s="34" t="s">
        <v>453</v>
      </c>
      <c r="AE32" s="2"/>
      <c r="AF32" s="2"/>
      <c r="AG32" s="2"/>
      <c r="AJ32" s="2"/>
      <c r="AK32" s="2"/>
      <c r="AL32" s="2"/>
      <c r="AR32" s="30"/>
      <c r="AS32" s="19"/>
      <c r="AT32" s="76"/>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30"/>
      <c r="BV32" s="30"/>
      <c r="BW32" s="30"/>
      <c r="BX32" s="30"/>
      <c r="BY32" s="30"/>
      <c r="BZ32" s="30"/>
      <c r="CA32" s="30"/>
      <c r="CB32" s="30"/>
      <c r="CC32" s="30"/>
      <c r="CD32" s="30"/>
      <c r="CE32" s="30"/>
      <c r="CF32" s="30"/>
      <c r="CG32" s="30"/>
      <c r="CH32" s="30"/>
      <c r="CI32" s="30"/>
      <c r="CJ32" s="30"/>
    </row>
    <row r="33" spans="2:88" ht="15" customHeight="1" x14ac:dyDescent="0.3">
      <c r="B33" s="185" t="str">
        <f>IF($AO$22=1,"Phase",IF($AO$22=2,"Lot","Type?"))</f>
        <v>Type?</v>
      </c>
      <c r="C33" s="185"/>
      <c r="D33" s="185"/>
      <c r="F33" s="185" t="str">
        <f>IF($AO$22=1,"No. Lots",IF($AO$22=2,"Lot ID","Type?"))</f>
        <v>Type?</v>
      </c>
      <c r="G33" s="185"/>
      <c r="H33" s="185"/>
      <c r="K33" s="185" t="s">
        <v>18</v>
      </c>
      <c r="L33" s="185"/>
      <c r="M33" s="185"/>
      <c r="R33" s="185" t="s">
        <v>396</v>
      </c>
      <c r="S33" s="185"/>
      <c r="T33" s="185"/>
      <c r="Y33" s="185" t="s">
        <v>396</v>
      </c>
      <c r="Z33" s="185"/>
      <c r="AA33" s="185"/>
      <c r="AD33" s="34" t="s">
        <v>397</v>
      </c>
      <c r="AM33" s="18" t="str">
        <f>B33</f>
        <v>Type?</v>
      </c>
      <c r="AN33" s="18" t="str">
        <f>F33</f>
        <v>Type?</v>
      </c>
      <c r="AP33" s="18" t="s">
        <v>398</v>
      </c>
      <c r="AR33" s="30"/>
      <c r="AS33" s="19"/>
      <c r="AT33" s="76"/>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30"/>
      <c r="BV33" s="30"/>
      <c r="BW33" s="30"/>
      <c r="BX33" s="30"/>
      <c r="BY33" s="30"/>
      <c r="BZ33" s="30"/>
      <c r="CA33" s="30"/>
      <c r="CB33" s="30"/>
      <c r="CC33" s="30"/>
      <c r="CD33" s="30"/>
      <c r="CE33" s="30"/>
      <c r="CF33" s="30"/>
      <c r="CG33" s="30"/>
      <c r="CH33" s="30"/>
      <c r="CI33" s="30"/>
      <c r="CJ33" s="30"/>
    </row>
    <row r="34" spans="2:88" ht="15" customHeight="1" x14ac:dyDescent="0.3">
      <c r="C34" s="4">
        <v>1</v>
      </c>
      <c r="F34" s="215"/>
      <c r="G34" s="215"/>
      <c r="H34" s="215"/>
      <c r="K34" s="216"/>
      <c r="L34" s="216"/>
      <c r="M34" s="216"/>
      <c r="N34" s="167" t="str">
        <f>IF($AQ$18=0,"Units?",IF($AQ$18=1,"ac",IF($AQ$18=2,"sq-ft","Error")))</f>
        <v>Units?</v>
      </c>
      <c r="O34" s="167"/>
      <c r="R34" s="216"/>
      <c r="S34" s="216"/>
      <c r="T34" s="216"/>
      <c r="U34" s="167" t="str">
        <f>IF($AQ$18=0,"Units?",IF($AQ$18=1,"ac",IF($AQ$18=2,"sq-ft","Error")))</f>
        <v>Units?</v>
      </c>
      <c r="V34" s="167"/>
      <c r="Y34" s="216"/>
      <c r="Z34" s="216"/>
      <c r="AA34" s="216"/>
      <c r="AB34" s="167" t="str">
        <f>IF($AQ$18=0,"Units?",IF($AQ$18=1,"ac",IF($AQ$18=2,"sq-ft","Error")))</f>
        <v>Units?</v>
      </c>
      <c r="AC34" s="167"/>
      <c r="AE34" s="66"/>
      <c r="AF34" s="34" t="s">
        <v>128</v>
      </c>
      <c r="AH34" s="66"/>
      <c r="AI34" s="34" t="s">
        <v>129</v>
      </c>
      <c r="AM34" s="118">
        <f>IF(OR(C34&lt;=$AH$20,C34&lt;=$AH$22),2,1)</f>
        <v>1</v>
      </c>
      <c r="AN34" s="118">
        <f>IF(ISBLANK(F34),1,2)</f>
        <v>1</v>
      </c>
      <c r="AP34" s="118">
        <f>IF(AND(ISBLANK(AE34),ISBLANK(AH34)),0,1)</f>
        <v>0</v>
      </c>
      <c r="AQ34" s="118">
        <f>IF(ISBLANK(AE34),1,IF(ISBLANK(AH34),2,3))</f>
        <v>1</v>
      </c>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30"/>
      <c r="BV34" s="30"/>
      <c r="BW34" s="30"/>
      <c r="BX34" s="30"/>
      <c r="BY34" s="30"/>
      <c r="BZ34" s="30"/>
      <c r="CA34" s="30"/>
      <c r="CB34" s="30"/>
      <c r="CC34" s="30"/>
      <c r="CD34" s="30"/>
      <c r="CE34" s="30"/>
      <c r="CF34" s="30"/>
      <c r="CG34" s="30"/>
      <c r="CH34" s="30"/>
      <c r="CI34" s="30"/>
      <c r="CJ34" s="30"/>
    </row>
    <row r="35" spans="2:88" ht="4.95" customHeight="1" x14ac:dyDescent="0.3">
      <c r="C35" s="4"/>
      <c r="F35" s="48"/>
      <c r="G35" s="48"/>
      <c r="K35" s="143"/>
      <c r="L35" s="143"/>
      <c r="M35" s="143"/>
      <c r="N35" s="14"/>
      <c r="O35" s="14"/>
      <c r="R35" s="143"/>
      <c r="S35" s="143"/>
      <c r="T35" s="143"/>
      <c r="U35" s="14"/>
      <c r="V35" s="14"/>
      <c r="Y35" s="143"/>
      <c r="Z35" s="143"/>
      <c r="AA35" s="143"/>
      <c r="AB35" s="14"/>
      <c r="AC35" s="14"/>
      <c r="AE35" s="144"/>
      <c r="AH35" s="144"/>
      <c r="AM35" s="145"/>
      <c r="AN35" s="145"/>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30"/>
      <c r="BV35" s="30"/>
      <c r="BW35" s="30"/>
      <c r="BX35" s="30"/>
      <c r="BY35" s="30"/>
      <c r="BZ35" s="30"/>
      <c r="CA35" s="30"/>
      <c r="CB35" s="30"/>
      <c r="CC35" s="30"/>
      <c r="CD35" s="30"/>
      <c r="CE35" s="30"/>
      <c r="CF35" s="30"/>
      <c r="CG35" s="30"/>
      <c r="CH35" s="30"/>
      <c r="CI35" s="30"/>
      <c r="CJ35" s="30"/>
    </row>
    <row r="36" spans="2:88" ht="15" customHeight="1" x14ac:dyDescent="0.3">
      <c r="C36" s="4">
        <f>C34+1</f>
        <v>2</v>
      </c>
      <c r="F36" s="215"/>
      <c r="G36" s="215"/>
      <c r="H36" s="215"/>
      <c r="K36" s="216"/>
      <c r="L36" s="216"/>
      <c r="M36" s="216"/>
      <c r="N36" s="167" t="str">
        <f>IF($AQ$18=0,"Units?",IF($AQ$18=1,"ac",IF($AQ$18=2,"sq-ft","Error")))</f>
        <v>Units?</v>
      </c>
      <c r="O36" s="167"/>
      <c r="R36" s="216"/>
      <c r="S36" s="216"/>
      <c r="T36" s="216"/>
      <c r="U36" s="167" t="str">
        <f>IF($AQ$18=0,"Units?",IF($AQ$18=1,"ac",IF($AQ$18=2,"sq-ft","Error")))</f>
        <v>Units?</v>
      </c>
      <c r="V36" s="167"/>
      <c r="Y36" s="216"/>
      <c r="Z36" s="216"/>
      <c r="AA36" s="216"/>
      <c r="AB36" s="167" t="str">
        <f>IF($AQ$18=0,"Units?",IF($AQ$18=1,"ac",IF($AQ$18=2,"sq-ft","Error")))</f>
        <v>Units?</v>
      </c>
      <c r="AC36" s="167"/>
      <c r="AE36" s="66"/>
      <c r="AF36" s="34" t="s">
        <v>128</v>
      </c>
      <c r="AH36" s="66"/>
      <c r="AI36" s="34" t="s">
        <v>129</v>
      </c>
      <c r="AM36" s="118">
        <f>IF(OR(C36&lt;=$AH$20,C36&lt;=$AH$22),2,1)</f>
        <v>1</v>
      </c>
      <c r="AN36" s="146">
        <f>IF(ISBLANK(F36),1,2)</f>
        <v>1</v>
      </c>
      <c r="AP36" s="118">
        <f>IF(AND(ISBLANK(AE36),ISBLANK(AH36)),0,1)</f>
        <v>0</v>
      </c>
      <c r="AQ36" s="118">
        <f>IF(ISBLANK(AE36),1,IF(ISBLANK(AH36),2,3))</f>
        <v>1</v>
      </c>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30"/>
      <c r="BV36" s="30"/>
      <c r="BW36" s="30"/>
      <c r="BX36" s="30"/>
      <c r="BY36" s="30"/>
      <c r="BZ36" s="30"/>
      <c r="CA36" s="30"/>
      <c r="CB36" s="30"/>
      <c r="CC36" s="30"/>
      <c r="CD36" s="30"/>
      <c r="CE36" s="30"/>
      <c r="CF36" s="30"/>
      <c r="CG36" s="30"/>
      <c r="CH36" s="30"/>
      <c r="CI36" s="30"/>
      <c r="CJ36" s="30"/>
    </row>
    <row r="37" spans="2:88" ht="4.95" customHeight="1" x14ac:dyDescent="0.3">
      <c r="C37" s="4"/>
      <c r="F37" s="48"/>
      <c r="G37" s="48"/>
      <c r="K37" s="143"/>
      <c r="L37" s="143"/>
      <c r="M37" s="143"/>
      <c r="N37" s="14"/>
      <c r="O37" s="14"/>
      <c r="R37" s="143"/>
      <c r="S37" s="143"/>
      <c r="T37" s="143"/>
      <c r="U37" s="14"/>
      <c r="V37" s="14"/>
      <c r="Y37" s="143"/>
      <c r="Z37" s="143"/>
      <c r="AA37" s="143"/>
      <c r="AB37" s="14"/>
      <c r="AC37" s="14"/>
      <c r="AE37" s="144"/>
      <c r="AH37" s="144"/>
      <c r="AM37" s="145"/>
      <c r="AN37" s="145"/>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30"/>
      <c r="BV37" s="30"/>
      <c r="BW37" s="30"/>
      <c r="BX37" s="30"/>
      <c r="BY37" s="30"/>
      <c r="BZ37" s="30"/>
      <c r="CA37" s="30"/>
      <c r="CB37" s="30"/>
      <c r="CC37" s="30"/>
      <c r="CD37" s="30"/>
      <c r="CE37" s="30"/>
      <c r="CF37" s="30"/>
      <c r="CG37" s="30"/>
      <c r="CH37" s="30"/>
      <c r="CI37" s="30"/>
      <c r="CJ37" s="30"/>
    </row>
    <row r="38" spans="2:88" ht="15" customHeight="1" x14ac:dyDescent="0.3">
      <c r="C38" s="4">
        <f>C36+1</f>
        <v>3</v>
      </c>
      <c r="F38" s="215"/>
      <c r="G38" s="215"/>
      <c r="H38" s="215"/>
      <c r="K38" s="216"/>
      <c r="L38" s="216"/>
      <c r="M38" s="216"/>
      <c r="N38" s="167" t="str">
        <f>IF($AQ$18=0,"Units?",IF($AQ$18=1,"ac",IF($AQ$18=2,"sq-ft","Error")))</f>
        <v>Units?</v>
      </c>
      <c r="O38" s="167"/>
      <c r="R38" s="216"/>
      <c r="S38" s="216"/>
      <c r="T38" s="216"/>
      <c r="U38" s="167" t="str">
        <f>IF($AQ$18=0,"Units?",IF($AQ$18=1,"ac",IF($AQ$18=2,"sq-ft","Error")))</f>
        <v>Units?</v>
      </c>
      <c r="V38" s="167"/>
      <c r="Y38" s="216"/>
      <c r="Z38" s="216"/>
      <c r="AA38" s="216"/>
      <c r="AB38" s="167" t="str">
        <f>IF($AQ$18=0,"Units?",IF($AQ$18=1,"ac",IF($AQ$18=2,"sq-ft","Error")))</f>
        <v>Units?</v>
      </c>
      <c r="AC38" s="167"/>
      <c r="AE38" s="66"/>
      <c r="AF38" s="34" t="s">
        <v>128</v>
      </c>
      <c r="AH38" s="66"/>
      <c r="AI38" s="34" t="s">
        <v>129</v>
      </c>
      <c r="AM38" s="118">
        <f>IF(OR(C38&lt;=$AH$20,C38&lt;=$AH$22),2,1)</f>
        <v>1</v>
      </c>
      <c r="AN38" s="118">
        <f>IF(ISBLANK(F38),1,2)</f>
        <v>1</v>
      </c>
      <c r="AP38" s="118">
        <f>IF(AND(ISBLANK(AE38),ISBLANK(AH38)),0,1)</f>
        <v>0</v>
      </c>
      <c r="AQ38" s="118">
        <f>IF(ISBLANK(AE38),1,IF(ISBLANK(AH38),2,3))</f>
        <v>1</v>
      </c>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30"/>
      <c r="BV38" s="30"/>
      <c r="BW38" s="30"/>
      <c r="BX38" s="30"/>
      <c r="BY38" s="30"/>
      <c r="BZ38" s="30"/>
      <c r="CA38" s="30"/>
      <c r="CB38" s="30"/>
      <c r="CC38" s="30"/>
      <c r="CD38" s="30"/>
      <c r="CE38" s="30"/>
      <c r="CF38" s="30"/>
      <c r="CG38" s="30"/>
      <c r="CH38" s="30"/>
      <c r="CI38" s="30"/>
      <c r="CJ38" s="30"/>
    </row>
    <row r="39" spans="2:88" ht="4.95" customHeight="1" x14ac:dyDescent="0.3">
      <c r="C39" s="4"/>
      <c r="F39" s="48"/>
      <c r="G39" s="48"/>
      <c r="K39" s="143"/>
      <c r="L39" s="143"/>
      <c r="M39" s="143"/>
      <c r="N39" s="14"/>
      <c r="O39" s="14"/>
      <c r="R39" s="143"/>
      <c r="S39" s="143"/>
      <c r="T39" s="143"/>
      <c r="U39" s="14"/>
      <c r="V39" s="14"/>
      <c r="Y39" s="143"/>
      <c r="Z39" s="143"/>
      <c r="AA39" s="143"/>
      <c r="AB39" s="14"/>
      <c r="AC39" s="14"/>
      <c r="AE39" s="144"/>
      <c r="AH39" s="144"/>
      <c r="AM39" s="145"/>
      <c r="AN39" s="145"/>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30"/>
      <c r="BV39" s="30"/>
      <c r="BW39" s="30"/>
      <c r="BX39" s="30"/>
      <c r="BY39" s="30"/>
      <c r="BZ39" s="30"/>
      <c r="CA39" s="30"/>
      <c r="CB39" s="30"/>
      <c r="CC39" s="30"/>
      <c r="CD39" s="30"/>
      <c r="CE39" s="30"/>
      <c r="CF39" s="30"/>
      <c r="CG39" s="30"/>
      <c r="CH39" s="30"/>
      <c r="CI39" s="30"/>
      <c r="CJ39" s="30"/>
    </row>
    <row r="40" spans="2:88" ht="15" customHeight="1" x14ac:dyDescent="0.3">
      <c r="C40" s="4">
        <f>C38+1</f>
        <v>4</v>
      </c>
      <c r="F40" s="215"/>
      <c r="G40" s="215"/>
      <c r="H40" s="215"/>
      <c r="K40" s="216"/>
      <c r="L40" s="216"/>
      <c r="M40" s="216"/>
      <c r="N40" s="167" t="str">
        <f>IF($AQ$18=0,"Units?",IF($AQ$18=1,"ac",IF($AQ$18=2,"sq-ft","Error")))</f>
        <v>Units?</v>
      </c>
      <c r="O40" s="167"/>
      <c r="R40" s="216"/>
      <c r="S40" s="216"/>
      <c r="T40" s="216"/>
      <c r="U40" s="167" t="str">
        <f>IF($AQ$18=0,"Units?",IF($AQ$18=1,"ac",IF($AQ$18=2,"sq-ft","Error")))</f>
        <v>Units?</v>
      </c>
      <c r="V40" s="167"/>
      <c r="Y40" s="216"/>
      <c r="Z40" s="216"/>
      <c r="AA40" s="216"/>
      <c r="AB40" s="167" t="str">
        <f>IF($AQ$18=0,"Units?",IF($AQ$18=1,"ac",IF($AQ$18=2,"sq-ft","Error")))</f>
        <v>Units?</v>
      </c>
      <c r="AC40" s="167"/>
      <c r="AE40" s="66"/>
      <c r="AF40" s="34" t="s">
        <v>128</v>
      </c>
      <c r="AH40" s="66"/>
      <c r="AI40" s="34" t="s">
        <v>129</v>
      </c>
      <c r="AM40" s="118">
        <f>IF(OR(C40&lt;=$AH$20,C40&lt;=$AH$22),2,1)</f>
        <v>1</v>
      </c>
      <c r="AN40" s="118">
        <f>IF(ISBLANK(F40),1,2)</f>
        <v>1</v>
      </c>
      <c r="AP40" s="118">
        <f>IF(AND(ISBLANK(AE40),ISBLANK(AH40)),0,1)</f>
        <v>0</v>
      </c>
      <c r="AQ40" s="118">
        <f>IF(ISBLANK(AE40),1,IF(ISBLANK(AH40),2,3))</f>
        <v>1</v>
      </c>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30"/>
      <c r="BV40" s="30"/>
      <c r="BW40" s="30"/>
      <c r="BX40" s="30"/>
      <c r="BY40" s="30"/>
      <c r="BZ40" s="30"/>
      <c r="CA40" s="30"/>
      <c r="CB40" s="30"/>
      <c r="CC40" s="30"/>
      <c r="CD40" s="30"/>
      <c r="CE40" s="30"/>
      <c r="CF40" s="30"/>
      <c r="CG40" s="30"/>
      <c r="CH40" s="30"/>
      <c r="CI40" s="30"/>
      <c r="CJ40" s="30"/>
    </row>
    <row r="41" spans="2:88" ht="4.95" customHeight="1" x14ac:dyDescent="0.3">
      <c r="C41" s="4"/>
      <c r="F41" s="48"/>
      <c r="G41" s="48"/>
      <c r="K41" s="143"/>
      <c r="L41" s="143"/>
      <c r="M41" s="143"/>
      <c r="N41" s="14"/>
      <c r="O41" s="14"/>
      <c r="R41" s="143"/>
      <c r="S41" s="143"/>
      <c r="T41" s="143"/>
      <c r="U41" s="14"/>
      <c r="V41" s="14"/>
      <c r="Y41" s="143"/>
      <c r="Z41" s="143"/>
      <c r="AA41" s="143"/>
      <c r="AB41" s="14"/>
      <c r="AC41" s="14"/>
      <c r="AE41" s="144"/>
      <c r="AH41" s="144"/>
      <c r="AM41" s="145"/>
      <c r="AN41" s="145"/>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30"/>
      <c r="BV41" s="30"/>
      <c r="BW41" s="30"/>
      <c r="BX41" s="30"/>
      <c r="BY41" s="30"/>
      <c r="BZ41" s="30"/>
      <c r="CA41" s="30"/>
      <c r="CB41" s="30"/>
      <c r="CC41" s="30"/>
      <c r="CD41" s="30"/>
      <c r="CE41" s="30"/>
      <c r="CF41" s="30"/>
      <c r="CG41" s="30"/>
      <c r="CH41" s="30"/>
      <c r="CI41" s="30"/>
      <c r="CJ41" s="30"/>
    </row>
    <row r="42" spans="2:88" ht="15" customHeight="1" x14ac:dyDescent="0.3">
      <c r="C42" s="4">
        <f>C40+1</f>
        <v>5</v>
      </c>
      <c r="F42" s="215"/>
      <c r="G42" s="215"/>
      <c r="H42" s="215"/>
      <c r="K42" s="216"/>
      <c r="L42" s="216"/>
      <c r="M42" s="216"/>
      <c r="N42" s="167" t="str">
        <f>IF($AQ$18=0,"Units?",IF($AQ$18=1,"ac",IF($AQ$18=2,"sq-ft","Error")))</f>
        <v>Units?</v>
      </c>
      <c r="O42" s="167"/>
      <c r="R42" s="216"/>
      <c r="S42" s="216"/>
      <c r="T42" s="216"/>
      <c r="U42" s="167" t="str">
        <f>IF($AQ$18=0,"Units?",IF($AQ$18=1,"ac",IF($AQ$18=2,"sq-ft","Error")))</f>
        <v>Units?</v>
      </c>
      <c r="V42" s="167"/>
      <c r="Y42" s="216"/>
      <c r="Z42" s="216"/>
      <c r="AA42" s="216"/>
      <c r="AB42" s="167" t="str">
        <f>IF($AQ$18=0,"Units?",IF($AQ$18=1,"ac",IF($AQ$18=2,"sq-ft","Error")))</f>
        <v>Units?</v>
      </c>
      <c r="AC42" s="167"/>
      <c r="AE42" s="66"/>
      <c r="AF42" s="34" t="s">
        <v>128</v>
      </c>
      <c r="AH42" s="66"/>
      <c r="AI42" s="34" t="s">
        <v>129</v>
      </c>
      <c r="AM42" s="118">
        <f>IF(OR(C42&lt;=$AH$20,C42&lt;=$AH$22),2,1)</f>
        <v>1</v>
      </c>
      <c r="AN42" s="118">
        <f>IF(ISBLANK(F42),1,2)</f>
        <v>1</v>
      </c>
      <c r="AP42" s="118">
        <f>IF(AND(ISBLANK(AE42),ISBLANK(AH42)),0,1)</f>
        <v>0</v>
      </c>
      <c r="AQ42" s="118">
        <f>IF(ISBLANK(AE42),1,IF(ISBLANK(AH42),2,3))</f>
        <v>1</v>
      </c>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30"/>
      <c r="BV42" s="30"/>
      <c r="BW42" s="30"/>
      <c r="BX42" s="30"/>
      <c r="BY42" s="30"/>
      <c r="BZ42" s="30"/>
      <c r="CA42" s="30"/>
      <c r="CB42" s="30"/>
      <c r="CC42" s="30"/>
      <c r="CD42" s="30"/>
      <c r="CE42" s="30"/>
      <c r="CF42" s="30"/>
      <c r="CG42" s="30"/>
      <c r="CH42" s="30"/>
      <c r="CI42" s="30"/>
      <c r="CJ42" s="30"/>
    </row>
    <row r="43" spans="2:88" ht="4.95" customHeight="1" x14ac:dyDescent="0.3">
      <c r="C43" s="4"/>
      <c r="F43" s="48"/>
      <c r="G43" s="48"/>
      <c r="K43" s="143"/>
      <c r="L43" s="143"/>
      <c r="M43" s="143"/>
      <c r="N43" s="14"/>
      <c r="O43" s="14"/>
      <c r="R43" s="143"/>
      <c r="S43" s="143"/>
      <c r="T43" s="143"/>
      <c r="U43" s="14"/>
      <c r="V43" s="14"/>
      <c r="Y43" s="143"/>
      <c r="Z43" s="143"/>
      <c r="AA43" s="143"/>
      <c r="AB43" s="14"/>
      <c r="AC43" s="14"/>
      <c r="AE43" s="144"/>
      <c r="AH43" s="144"/>
      <c r="AM43" s="145"/>
      <c r="AN43" s="145"/>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30"/>
      <c r="BV43" s="30"/>
      <c r="BW43" s="30"/>
      <c r="BX43" s="30"/>
      <c r="BY43" s="30"/>
      <c r="BZ43" s="30"/>
      <c r="CA43" s="30"/>
      <c r="CB43" s="30"/>
      <c r="CC43" s="30"/>
      <c r="CD43" s="30"/>
      <c r="CE43" s="30"/>
      <c r="CF43" s="30"/>
      <c r="CG43" s="30"/>
      <c r="CH43" s="30"/>
      <c r="CI43" s="30"/>
      <c r="CJ43" s="30"/>
    </row>
    <row r="44" spans="2:88" ht="15" customHeight="1" x14ac:dyDescent="0.3">
      <c r="C44" s="4">
        <f>C42+1</f>
        <v>6</v>
      </c>
      <c r="F44" s="215"/>
      <c r="G44" s="215"/>
      <c r="H44" s="215"/>
      <c r="K44" s="216"/>
      <c r="L44" s="216"/>
      <c r="M44" s="216"/>
      <c r="N44" s="167" t="str">
        <f>IF($AQ$18=0,"Units?",IF($AQ$18=1,"ac",IF($AQ$18=2,"sq-ft","Error")))</f>
        <v>Units?</v>
      </c>
      <c r="O44" s="167"/>
      <c r="R44" s="216"/>
      <c r="S44" s="216"/>
      <c r="T44" s="216"/>
      <c r="U44" s="167" t="str">
        <f>IF($AQ$18=0,"Units?",IF($AQ$18=1,"ac",IF($AQ$18=2,"sq-ft","Error")))</f>
        <v>Units?</v>
      </c>
      <c r="V44" s="167"/>
      <c r="Y44" s="216"/>
      <c r="Z44" s="216"/>
      <c r="AA44" s="216"/>
      <c r="AB44" s="167" t="str">
        <f>IF($AQ$18=0,"Units?",IF($AQ$18=1,"ac",IF($AQ$18=2,"sq-ft","Error")))</f>
        <v>Units?</v>
      </c>
      <c r="AC44" s="167"/>
      <c r="AE44" s="66"/>
      <c r="AF44" s="34" t="s">
        <v>128</v>
      </c>
      <c r="AH44" s="66"/>
      <c r="AI44" s="34" t="s">
        <v>129</v>
      </c>
      <c r="AM44" s="118">
        <f>IF(OR(C44&lt;=$AH$20,C44&lt;=$AH$22),2,1)</f>
        <v>1</v>
      </c>
      <c r="AN44" s="118">
        <f>IF(ISBLANK(F44),1,2)</f>
        <v>1</v>
      </c>
      <c r="AP44" s="118">
        <f>IF(AND(ISBLANK(AE44),ISBLANK(AH44)),0,1)</f>
        <v>0</v>
      </c>
      <c r="AQ44" s="118">
        <f>IF(ISBLANK(AE44),1,IF(ISBLANK(AH44),2,3))</f>
        <v>1</v>
      </c>
      <c r="AR44" s="30"/>
      <c r="AS44" s="19"/>
      <c r="AT44" s="76"/>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30"/>
      <c r="BV44" s="30"/>
      <c r="BW44" s="30"/>
      <c r="BX44" s="30"/>
      <c r="BY44" s="30"/>
      <c r="BZ44" s="30"/>
      <c r="CA44" s="30"/>
      <c r="CB44" s="30"/>
      <c r="CC44" s="30"/>
      <c r="CD44" s="30"/>
      <c r="CE44" s="30"/>
      <c r="CF44" s="30"/>
      <c r="CG44" s="30"/>
      <c r="CH44" s="30"/>
      <c r="CI44" s="30"/>
      <c r="CJ44" s="30"/>
    </row>
    <row r="45" spans="2:88" ht="4.95" customHeight="1" x14ac:dyDescent="0.3">
      <c r="C45" s="4"/>
      <c r="F45" s="48"/>
      <c r="G45" s="48"/>
      <c r="K45" s="143"/>
      <c r="L45" s="143"/>
      <c r="M45" s="143"/>
      <c r="N45" s="14"/>
      <c r="O45" s="14"/>
      <c r="R45" s="143"/>
      <c r="S45" s="143"/>
      <c r="T45" s="143"/>
      <c r="U45" s="14"/>
      <c r="V45" s="14"/>
      <c r="Y45" s="143"/>
      <c r="Z45" s="143"/>
      <c r="AA45" s="143"/>
      <c r="AB45" s="14"/>
      <c r="AC45" s="14"/>
      <c r="AE45" s="144"/>
      <c r="AH45" s="144"/>
      <c r="AM45" s="145"/>
      <c r="AN45" s="145"/>
      <c r="AR45" s="30"/>
      <c r="AS45" s="19"/>
      <c r="AT45" s="76"/>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30"/>
      <c r="BV45" s="30"/>
      <c r="BW45" s="30"/>
      <c r="BX45" s="30"/>
      <c r="BY45" s="30"/>
      <c r="BZ45" s="30"/>
      <c r="CA45" s="30"/>
      <c r="CB45" s="30"/>
      <c r="CC45" s="30"/>
      <c r="CD45" s="30"/>
      <c r="CE45" s="30"/>
      <c r="CF45" s="30"/>
      <c r="CG45" s="30"/>
      <c r="CH45" s="30"/>
      <c r="CI45" s="30"/>
      <c r="CJ45" s="30"/>
    </row>
    <row r="46" spans="2:88" ht="15" customHeight="1" x14ac:dyDescent="0.3">
      <c r="C46" s="4">
        <f>C44+1</f>
        <v>7</v>
      </c>
      <c r="F46" s="215"/>
      <c r="G46" s="215"/>
      <c r="H46" s="215"/>
      <c r="K46" s="216"/>
      <c r="L46" s="216"/>
      <c r="M46" s="216"/>
      <c r="N46" s="167" t="str">
        <f>IF($AQ$18=0,"Units?",IF($AQ$18=1,"ac",IF($AQ$18=2,"sq-ft","Error")))</f>
        <v>Units?</v>
      </c>
      <c r="O46" s="167"/>
      <c r="R46" s="216"/>
      <c r="S46" s="216"/>
      <c r="T46" s="216"/>
      <c r="U46" s="167" t="str">
        <f>IF($AQ$18=0,"Units?",IF($AQ$18=1,"ac",IF($AQ$18=2,"sq-ft","Error")))</f>
        <v>Units?</v>
      </c>
      <c r="V46" s="167"/>
      <c r="Y46" s="216"/>
      <c r="Z46" s="216"/>
      <c r="AA46" s="216"/>
      <c r="AB46" s="167" t="str">
        <f>IF($AQ$18=0,"Units?",IF($AQ$18=1,"ac",IF($AQ$18=2,"sq-ft","Error")))</f>
        <v>Units?</v>
      </c>
      <c r="AC46" s="167"/>
      <c r="AE46" s="66"/>
      <c r="AF46" s="34" t="s">
        <v>128</v>
      </c>
      <c r="AH46" s="66"/>
      <c r="AI46" s="34" t="s">
        <v>129</v>
      </c>
      <c r="AM46" s="118">
        <f>IF(OR(C46&lt;=$AH$20,C46&lt;=$AH$22),2,1)</f>
        <v>1</v>
      </c>
      <c r="AN46" s="118">
        <f>IF(ISBLANK(F46),1,2)</f>
        <v>1</v>
      </c>
      <c r="AP46" s="118">
        <f>IF(AND(ISBLANK(AE46),ISBLANK(AH46)),0,1)</f>
        <v>0</v>
      </c>
      <c r="AQ46" s="118">
        <f>IF(ISBLANK(AE46),1,IF(ISBLANK(AH46),2,3))</f>
        <v>1</v>
      </c>
      <c r="AR46" s="19"/>
      <c r="AS46" s="133"/>
      <c r="AT46" s="76"/>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30"/>
      <c r="BV46" s="30"/>
      <c r="BW46" s="30"/>
      <c r="BX46" s="30"/>
      <c r="BY46" s="30"/>
      <c r="BZ46" s="30"/>
      <c r="CA46" s="30"/>
      <c r="CB46" s="30"/>
      <c r="CC46" s="30"/>
      <c r="CD46" s="30"/>
      <c r="CE46" s="30"/>
      <c r="CF46" s="30"/>
      <c r="CG46" s="30"/>
      <c r="CH46" s="30"/>
      <c r="CI46" s="30"/>
      <c r="CJ46" s="30"/>
    </row>
    <row r="47" spans="2:88" ht="4.95" customHeight="1" x14ac:dyDescent="0.3">
      <c r="C47" s="4"/>
      <c r="F47" s="48"/>
      <c r="G47" s="48"/>
      <c r="K47" s="143"/>
      <c r="L47" s="143"/>
      <c r="M47" s="143"/>
      <c r="N47" s="14"/>
      <c r="O47" s="14"/>
      <c r="R47" s="143"/>
      <c r="S47" s="143"/>
      <c r="T47" s="143"/>
      <c r="U47" s="14"/>
      <c r="V47" s="14"/>
      <c r="Y47" s="143"/>
      <c r="Z47" s="143"/>
      <c r="AA47" s="143"/>
      <c r="AB47" s="14"/>
      <c r="AC47" s="14"/>
      <c r="AE47" s="144"/>
      <c r="AH47" s="144"/>
      <c r="AM47" s="145"/>
      <c r="AN47" s="145"/>
      <c r="AR47" s="19"/>
      <c r="AS47" s="133"/>
      <c r="AT47" s="76"/>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30"/>
      <c r="BV47" s="30"/>
      <c r="BW47" s="30"/>
      <c r="BX47" s="30"/>
      <c r="BY47" s="30"/>
      <c r="BZ47" s="30"/>
      <c r="CA47" s="30"/>
      <c r="CB47" s="30"/>
      <c r="CC47" s="30"/>
      <c r="CD47" s="30"/>
      <c r="CE47" s="30"/>
      <c r="CF47" s="30"/>
      <c r="CG47" s="30"/>
      <c r="CH47" s="30"/>
      <c r="CI47" s="30"/>
      <c r="CJ47" s="30"/>
    </row>
    <row r="48" spans="2:88" ht="15" customHeight="1" x14ac:dyDescent="0.3">
      <c r="C48" s="4">
        <f>C46+1</f>
        <v>8</v>
      </c>
      <c r="F48" s="215"/>
      <c r="G48" s="215"/>
      <c r="H48" s="215"/>
      <c r="K48" s="216"/>
      <c r="L48" s="216"/>
      <c r="M48" s="216"/>
      <c r="N48" s="167" t="str">
        <f>IF($AQ$18=0,"Units?",IF($AQ$18=1,"ac",IF($AQ$18=2,"sq-ft","Error")))</f>
        <v>Units?</v>
      </c>
      <c r="O48" s="167"/>
      <c r="R48" s="216"/>
      <c r="S48" s="216"/>
      <c r="T48" s="216"/>
      <c r="U48" s="167" t="str">
        <f>IF($AQ$18=0,"Units?",IF($AQ$18=1,"ac",IF($AQ$18=2,"sq-ft","Error")))</f>
        <v>Units?</v>
      </c>
      <c r="V48" s="167"/>
      <c r="Y48" s="216"/>
      <c r="Z48" s="216"/>
      <c r="AA48" s="216"/>
      <c r="AB48" s="167" t="str">
        <f>IF($AQ$18=0,"Units?",IF($AQ$18=1,"ac",IF($AQ$18=2,"sq-ft","Error")))</f>
        <v>Units?</v>
      </c>
      <c r="AC48" s="167"/>
      <c r="AE48" s="66"/>
      <c r="AF48" s="34" t="s">
        <v>128</v>
      </c>
      <c r="AH48" s="66"/>
      <c r="AI48" s="34" t="s">
        <v>129</v>
      </c>
      <c r="AM48" s="118">
        <f>IF(OR(C48&lt;=$AH$20,C48&lt;=$AH$22),2,1)</f>
        <v>1</v>
      </c>
      <c r="AN48" s="118">
        <f>IF(ISBLANK(F48),1,2)</f>
        <v>1</v>
      </c>
      <c r="AP48" s="118">
        <f>IF(AND(ISBLANK(AE48),ISBLANK(AH48)),0,1)</f>
        <v>0</v>
      </c>
      <c r="AQ48" s="118">
        <f>IF(ISBLANK(AE48),1,IF(ISBLANK(AH48),2,3))</f>
        <v>1</v>
      </c>
      <c r="AR48" s="30"/>
      <c r="AS48" s="19"/>
      <c r="AT48" s="76"/>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30"/>
      <c r="BV48" s="30"/>
      <c r="BW48" s="30"/>
      <c r="BX48" s="30"/>
      <c r="BY48" s="30"/>
      <c r="BZ48" s="30"/>
      <c r="CA48" s="30"/>
      <c r="CB48" s="30"/>
      <c r="CC48" s="30"/>
      <c r="CD48" s="30"/>
      <c r="CE48" s="30"/>
      <c r="CF48" s="30"/>
      <c r="CG48" s="30"/>
      <c r="CH48" s="30"/>
      <c r="CI48" s="30"/>
      <c r="CJ48" s="30"/>
    </row>
    <row r="49" spans="3:88" ht="4.95" customHeight="1" x14ac:dyDescent="0.3">
      <c r="C49" s="4"/>
      <c r="F49" s="48"/>
      <c r="G49" s="48"/>
      <c r="K49" s="143"/>
      <c r="L49" s="143"/>
      <c r="M49" s="143"/>
      <c r="N49" s="14"/>
      <c r="O49" s="14"/>
      <c r="R49" s="143"/>
      <c r="S49" s="143"/>
      <c r="T49" s="143"/>
      <c r="U49" s="14"/>
      <c r="V49" s="14"/>
      <c r="Y49" s="143"/>
      <c r="Z49" s="143"/>
      <c r="AA49" s="143"/>
      <c r="AB49" s="14"/>
      <c r="AC49" s="14"/>
      <c r="AE49" s="144"/>
      <c r="AH49" s="144"/>
      <c r="AM49" s="145"/>
      <c r="AN49" s="145"/>
      <c r="AR49" s="30"/>
      <c r="AS49" s="19"/>
      <c r="AT49" s="76"/>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30"/>
      <c r="BV49" s="30"/>
      <c r="BW49" s="30"/>
      <c r="BX49" s="30"/>
      <c r="BY49" s="30"/>
      <c r="BZ49" s="30"/>
      <c r="CA49" s="30"/>
      <c r="CB49" s="30"/>
      <c r="CC49" s="30"/>
      <c r="CD49" s="30"/>
      <c r="CE49" s="30"/>
      <c r="CF49" s="30"/>
      <c r="CG49" s="30"/>
      <c r="CH49" s="30"/>
      <c r="CI49" s="30"/>
      <c r="CJ49" s="30"/>
    </row>
    <row r="50" spans="3:88" ht="15" customHeight="1" x14ac:dyDescent="0.3">
      <c r="C50" s="4">
        <f>C48+1</f>
        <v>9</v>
      </c>
      <c r="F50" s="215"/>
      <c r="G50" s="215"/>
      <c r="H50" s="215"/>
      <c r="K50" s="216"/>
      <c r="L50" s="216"/>
      <c r="M50" s="216"/>
      <c r="N50" s="167" t="str">
        <f>IF($AQ$18=0,"Units?",IF($AQ$18=1,"ac",IF($AQ$18=2,"sq-ft","Error")))</f>
        <v>Units?</v>
      </c>
      <c r="O50" s="167"/>
      <c r="R50" s="216"/>
      <c r="S50" s="216"/>
      <c r="T50" s="216"/>
      <c r="U50" s="167" t="str">
        <f>IF($AQ$18=0,"Units?",IF($AQ$18=1,"ac",IF($AQ$18=2,"sq-ft","Error")))</f>
        <v>Units?</v>
      </c>
      <c r="V50" s="167"/>
      <c r="Y50" s="216"/>
      <c r="Z50" s="216"/>
      <c r="AA50" s="216"/>
      <c r="AB50" s="167" t="str">
        <f>IF($AQ$18=0,"Units?",IF($AQ$18=1,"ac",IF($AQ$18=2,"sq-ft","Error")))</f>
        <v>Units?</v>
      </c>
      <c r="AC50" s="167"/>
      <c r="AE50" s="66"/>
      <c r="AF50" s="34" t="s">
        <v>128</v>
      </c>
      <c r="AH50" s="66"/>
      <c r="AI50" s="34" t="s">
        <v>129</v>
      </c>
      <c r="AM50" s="118">
        <f>IF(OR(C50&lt;=$AH$20,C50&lt;=$AH$22),2,1)</f>
        <v>1</v>
      </c>
      <c r="AN50" s="118">
        <f>IF(ISBLANK(F50),1,2)</f>
        <v>1</v>
      </c>
      <c r="AP50" s="118">
        <f>IF(AND(ISBLANK(AE50),ISBLANK(AH50)),0,1)</f>
        <v>0</v>
      </c>
      <c r="AQ50" s="118">
        <f>IF(ISBLANK(AE50),1,IF(ISBLANK(AH50),2,3))</f>
        <v>1</v>
      </c>
      <c r="AR50" s="30"/>
      <c r="AS50" s="19"/>
      <c r="AT50" s="76"/>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30"/>
      <c r="BV50" s="30"/>
      <c r="BW50" s="30"/>
      <c r="BX50" s="30"/>
      <c r="BY50" s="30"/>
      <c r="BZ50" s="30"/>
      <c r="CA50" s="30"/>
      <c r="CB50" s="30"/>
      <c r="CC50" s="30"/>
      <c r="CD50" s="30"/>
      <c r="CE50" s="30"/>
      <c r="CF50" s="30"/>
      <c r="CG50" s="30"/>
      <c r="CH50" s="30"/>
      <c r="CI50" s="30"/>
      <c r="CJ50" s="30"/>
    </row>
    <row r="51" spans="3:88" ht="4.95" customHeight="1" x14ac:dyDescent="0.3">
      <c r="C51" s="4"/>
      <c r="F51" s="48"/>
      <c r="G51" s="48"/>
      <c r="K51" s="143"/>
      <c r="L51" s="143"/>
      <c r="M51" s="143"/>
      <c r="N51" s="14"/>
      <c r="O51" s="14"/>
      <c r="R51" s="143"/>
      <c r="S51" s="143"/>
      <c r="T51" s="143"/>
      <c r="U51" s="14"/>
      <c r="V51" s="14"/>
      <c r="Y51" s="143"/>
      <c r="Z51" s="143"/>
      <c r="AA51" s="143"/>
      <c r="AB51" s="14"/>
      <c r="AC51" s="14"/>
      <c r="AE51" s="144"/>
      <c r="AH51" s="144"/>
      <c r="AM51" s="145"/>
      <c r="AN51" s="145"/>
      <c r="AR51" s="30"/>
      <c r="AS51" s="19"/>
      <c r="AT51" s="76"/>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30"/>
      <c r="BV51" s="30"/>
      <c r="BW51" s="30"/>
      <c r="BX51" s="30"/>
      <c r="BY51" s="30"/>
      <c r="BZ51" s="30"/>
      <c r="CA51" s="30"/>
      <c r="CB51" s="30"/>
      <c r="CC51" s="30"/>
      <c r="CD51" s="30"/>
      <c r="CE51" s="30"/>
      <c r="CF51" s="30"/>
      <c r="CG51" s="30"/>
      <c r="CH51" s="30"/>
      <c r="CI51" s="30"/>
      <c r="CJ51" s="30"/>
    </row>
    <row r="52" spans="3:88" ht="15" customHeight="1" x14ac:dyDescent="0.3">
      <c r="C52" s="4">
        <f>C50+1</f>
        <v>10</v>
      </c>
      <c r="F52" s="215"/>
      <c r="G52" s="215"/>
      <c r="H52" s="215"/>
      <c r="K52" s="216"/>
      <c r="L52" s="216"/>
      <c r="M52" s="216"/>
      <c r="N52" s="167" t="str">
        <f>IF($AQ$18=0,"Units?",IF($AQ$18=1,"ac",IF($AQ$18=2,"sq-ft","Error")))</f>
        <v>Units?</v>
      </c>
      <c r="O52" s="167"/>
      <c r="R52" s="216"/>
      <c r="S52" s="216"/>
      <c r="T52" s="216"/>
      <c r="U52" s="167" t="str">
        <f>IF($AQ$18=0,"Units?",IF($AQ$18=1,"ac",IF($AQ$18=2,"sq-ft","Error")))</f>
        <v>Units?</v>
      </c>
      <c r="V52" s="167"/>
      <c r="Y52" s="216"/>
      <c r="Z52" s="216"/>
      <c r="AA52" s="216"/>
      <c r="AB52" s="167" t="str">
        <f>IF($AQ$18=0,"Units?",IF($AQ$18=1,"ac",IF($AQ$18=2,"sq-ft","Error")))</f>
        <v>Units?</v>
      </c>
      <c r="AC52" s="167"/>
      <c r="AE52" s="66"/>
      <c r="AF52" s="34" t="s">
        <v>128</v>
      </c>
      <c r="AH52" s="66"/>
      <c r="AI52" s="34" t="s">
        <v>129</v>
      </c>
      <c r="AM52" s="118">
        <f>IF(OR(C52&lt;=$AH$20,C52&lt;=$AH$22),2,1)</f>
        <v>1</v>
      </c>
      <c r="AN52" s="118">
        <f>IF(ISBLANK(F52),1,2)</f>
        <v>1</v>
      </c>
      <c r="AP52" s="118">
        <f>IF(AND(ISBLANK(AE52),ISBLANK(AH52)),0,1)</f>
        <v>0</v>
      </c>
      <c r="AQ52" s="118">
        <f>IF(ISBLANK(AE52),1,IF(ISBLANK(AH52),2,3))</f>
        <v>1</v>
      </c>
      <c r="AR52" s="30"/>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30"/>
      <c r="BV52" s="30"/>
      <c r="BW52" s="30"/>
      <c r="BX52" s="30"/>
      <c r="BY52" s="30"/>
      <c r="BZ52" s="30"/>
      <c r="CA52" s="30"/>
      <c r="CB52" s="30"/>
      <c r="CC52" s="30"/>
      <c r="CD52" s="30"/>
      <c r="CE52" s="30"/>
      <c r="CF52" s="30"/>
      <c r="CG52" s="30"/>
      <c r="CH52" s="30"/>
      <c r="CI52" s="30"/>
      <c r="CJ52" s="30"/>
    </row>
    <row r="53" spans="3:88" ht="4.95" customHeight="1" x14ac:dyDescent="0.3">
      <c r="C53" s="4"/>
      <c r="F53" s="48"/>
      <c r="G53" s="48"/>
      <c r="K53" s="143"/>
      <c r="L53" s="143"/>
      <c r="M53" s="143"/>
      <c r="N53" s="14"/>
      <c r="O53" s="14"/>
      <c r="R53" s="143"/>
      <c r="S53" s="143"/>
      <c r="T53" s="143"/>
      <c r="U53" s="14"/>
      <c r="V53" s="14"/>
      <c r="Y53" s="143"/>
      <c r="Z53" s="143"/>
      <c r="AA53" s="143"/>
      <c r="AB53" s="14"/>
      <c r="AC53" s="14"/>
      <c r="AE53" s="144"/>
      <c r="AH53" s="144"/>
      <c r="AM53" s="145"/>
      <c r="AN53" s="145"/>
      <c r="AR53" s="30"/>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30"/>
      <c r="BV53" s="30"/>
      <c r="BW53" s="30"/>
      <c r="BX53" s="30"/>
      <c r="BY53" s="30"/>
      <c r="BZ53" s="30"/>
      <c r="CA53" s="30"/>
      <c r="CB53" s="30"/>
      <c r="CC53" s="30"/>
      <c r="CD53" s="30"/>
      <c r="CE53" s="30"/>
      <c r="CF53" s="30"/>
      <c r="CG53" s="30"/>
      <c r="CH53" s="30"/>
      <c r="CI53" s="30"/>
      <c r="CJ53" s="30"/>
    </row>
    <row r="54" spans="3:88" ht="15" customHeight="1" x14ac:dyDescent="0.3">
      <c r="C54" s="4">
        <f>C52+1</f>
        <v>11</v>
      </c>
      <c r="F54" s="215"/>
      <c r="G54" s="215"/>
      <c r="H54" s="215"/>
      <c r="K54" s="216"/>
      <c r="L54" s="216"/>
      <c r="M54" s="216"/>
      <c r="N54" s="167" t="str">
        <f>IF($AQ$18=0,"Units?",IF($AQ$18=1,"ac",IF($AQ$18=2,"sq-ft","Error")))</f>
        <v>Units?</v>
      </c>
      <c r="O54" s="167"/>
      <c r="R54" s="216"/>
      <c r="S54" s="216"/>
      <c r="T54" s="216"/>
      <c r="U54" s="167" t="str">
        <f>IF($AQ$18=0,"Units?",IF($AQ$18=1,"ac",IF($AQ$18=2,"sq-ft","Error")))</f>
        <v>Units?</v>
      </c>
      <c r="V54" s="167"/>
      <c r="Y54" s="216"/>
      <c r="Z54" s="216"/>
      <c r="AA54" s="216"/>
      <c r="AB54" s="167" t="str">
        <f>IF($AQ$18=0,"Units?",IF($AQ$18=1,"ac",IF($AQ$18=2,"sq-ft","Error")))</f>
        <v>Units?</v>
      </c>
      <c r="AC54" s="167"/>
      <c r="AE54" s="66"/>
      <c r="AF54" s="34" t="s">
        <v>128</v>
      </c>
      <c r="AH54" s="66"/>
      <c r="AI54" s="34" t="s">
        <v>129</v>
      </c>
      <c r="AM54" s="118">
        <f>IF(OR(C54&lt;=$AH$20,C54&lt;=$AH$22),2,1)</f>
        <v>1</v>
      </c>
      <c r="AN54" s="118">
        <f>IF(ISBLANK(F54),1,2)</f>
        <v>1</v>
      </c>
      <c r="AP54" s="118">
        <f>IF(AND(ISBLANK(AE54),ISBLANK(AH54)),0,1)</f>
        <v>0</v>
      </c>
      <c r="AQ54" s="118">
        <f>IF(ISBLANK(AE54),1,IF(ISBLANK(AH54),2,3))</f>
        <v>1</v>
      </c>
      <c r="AR54" s="30"/>
      <c r="AS54" s="19"/>
      <c r="AT54" s="76"/>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30"/>
      <c r="BV54" s="30"/>
      <c r="BW54" s="30"/>
      <c r="BX54" s="30"/>
      <c r="BY54" s="30"/>
      <c r="BZ54" s="30"/>
      <c r="CA54" s="30"/>
      <c r="CB54" s="30"/>
      <c r="CC54" s="30"/>
      <c r="CD54" s="30"/>
      <c r="CE54" s="30"/>
      <c r="CF54" s="30"/>
      <c r="CG54" s="30"/>
      <c r="CH54" s="30"/>
      <c r="CI54" s="30"/>
      <c r="CJ54" s="30"/>
    </row>
    <row r="55" spans="3:88" ht="4.95" customHeight="1" x14ac:dyDescent="0.3">
      <c r="C55" s="4"/>
      <c r="F55" s="48"/>
      <c r="G55" s="48"/>
      <c r="K55" s="143"/>
      <c r="L55" s="143"/>
      <c r="M55" s="143"/>
      <c r="N55" s="14"/>
      <c r="O55" s="14"/>
      <c r="R55" s="143"/>
      <c r="S55" s="143"/>
      <c r="T55" s="143"/>
      <c r="U55" s="14"/>
      <c r="V55" s="14"/>
      <c r="Y55" s="143"/>
      <c r="Z55" s="143"/>
      <c r="AA55" s="143"/>
      <c r="AB55" s="14"/>
      <c r="AC55" s="14"/>
      <c r="AE55" s="144"/>
      <c r="AH55" s="144"/>
      <c r="AM55" s="145"/>
      <c r="AN55" s="145"/>
      <c r="AR55" s="30"/>
      <c r="AS55" s="19"/>
      <c r="AT55" s="76"/>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30"/>
      <c r="BV55" s="30"/>
      <c r="BW55" s="30"/>
      <c r="BX55" s="30"/>
      <c r="BY55" s="30"/>
      <c r="BZ55" s="30"/>
      <c r="CA55" s="30"/>
      <c r="CB55" s="30"/>
      <c r="CC55" s="30"/>
      <c r="CD55" s="30"/>
      <c r="CE55" s="30"/>
      <c r="CF55" s="30"/>
      <c r="CG55" s="30"/>
      <c r="CH55" s="30"/>
      <c r="CI55" s="30"/>
      <c r="CJ55" s="30"/>
    </row>
    <row r="56" spans="3:88" ht="15" customHeight="1" x14ac:dyDescent="0.3">
      <c r="C56" s="4">
        <f>C54+1</f>
        <v>12</v>
      </c>
      <c r="F56" s="215"/>
      <c r="G56" s="215"/>
      <c r="H56" s="215"/>
      <c r="K56" s="216"/>
      <c r="L56" s="216"/>
      <c r="M56" s="216"/>
      <c r="N56" s="167" t="str">
        <f>IF($AQ$18=0,"Units?",IF($AQ$18=1,"ac",IF($AQ$18=2,"sq-ft","Error")))</f>
        <v>Units?</v>
      </c>
      <c r="O56" s="167"/>
      <c r="R56" s="216"/>
      <c r="S56" s="216"/>
      <c r="T56" s="216"/>
      <c r="U56" s="167" t="str">
        <f>IF($AQ$18=0,"Units?",IF($AQ$18=1,"ac",IF($AQ$18=2,"sq-ft","Error")))</f>
        <v>Units?</v>
      </c>
      <c r="V56" s="167"/>
      <c r="Y56" s="216"/>
      <c r="Z56" s="216"/>
      <c r="AA56" s="216"/>
      <c r="AB56" s="167" t="str">
        <f>IF($AQ$18=0,"Units?",IF($AQ$18=1,"ac",IF($AQ$18=2,"sq-ft","Error")))</f>
        <v>Units?</v>
      </c>
      <c r="AC56" s="167"/>
      <c r="AE56" s="66"/>
      <c r="AF56" s="34" t="s">
        <v>128</v>
      </c>
      <c r="AH56" s="66"/>
      <c r="AI56" s="34" t="s">
        <v>129</v>
      </c>
      <c r="AM56" s="118">
        <f>IF(OR(C56&lt;=$AH$20,C56&lt;=$AH$22),2,1)</f>
        <v>1</v>
      </c>
      <c r="AN56" s="118">
        <f>IF(ISBLANK(F56),1,2)</f>
        <v>1</v>
      </c>
      <c r="AP56" s="118">
        <f>IF(AND(ISBLANK(AE56),ISBLANK(AH56)),0,1)</f>
        <v>0</v>
      </c>
      <c r="AQ56" s="118">
        <f>IF(ISBLANK(AE56),1,IF(ISBLANK(AH56),2,3))</f>
        <v>1</v>
      </c>
      <c r="AR56" s="30"/>
      <c r="AS56" s="19"/>
      <c r="AT56" s="76"/>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30"/>
      <c r="BV56" s="30"/>
      <c r="BW56" s="30"/>
      <c r="BX56" s="30"/>
      <c r="BY56" s="30"/>
      <c r="BZ56" s="30"/>
      <c r="CA56" s="30"/>
      <c r="CB56" s="30"/>
      <c r="CC56" s="30"/>
      <c r="CD56" s="30"/>
      <c r="CE56" s="30"/>
      <c r="CF56" s="30"/>
      <c r="CG56" s="30"/>
      <c r="CH56" s="30"/>
      <c r="CI56" s="30"/>
      <c r="CJ56" s="30"/>
    </row>
    <row r="57" spans="3:88" ht="4.95" customHeight="1" x14ac:dyDescent="0.3">
      <c r="C57" s="4"/>
      <c r="F57" s="48"/>
      <c r="G57" s="48"/>
      <c r="K57" s="143"/>
      <c r="L57" s="143"/>
      <c r="M57" s="143"/>
      <c r="N57" s="14"/>
      <c r="O57" s="14"/>
      <c r="R57" s="143"/>
      <c r="S57" s="143"/>
      <c r="T57" s="143"/>
      <c r="U57" s="14"/>
      <c r="V57" s="14"/>
      <c r="Y57" s="143"/>
      <c r="Z57" s="143"/>
      <c r="AA57" s="143"/>
      <c r="AB57" s="14"/>
      <c r="AC57" s="14"/>
      <c r="AE57" s="144"/>
      <c r="AH57" s="144"/>
      <c r="AM57" s="145"/>
      <c r="AN57" s="145"/>
      <c r="AR57" s="30"/>
      <c r="AS57" s="19"/>
      <c r="AT57" s="76"/>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30"/>
      <c r="BV57" s="30"/>
      <c r="BW57" s="30"/>
      <c r="BX57" s="30"/>
      <c r="BY57" s="30"/>
      <c r="BZ57" s="30"/>
      <c r="CA57" s="30"/>
      <c r="CB57" s="30"/>
      <c r="CC57" s="30"/>
      <c r="CD57" s="30"/>
      <c r="CE57" s="30"/>
      <c r="CF57" s="30"/>
      <c r="CG57" s="30"/>
      <c r="CH57" s="30"/>
      <c r="CI57" s="30"/>
      <c r="CJ57" s="30"/>
    </row>
    <row r="58" spans="3:88" ht="15" customHeight="1" x14ac:dyDescent="0.3">
      <c r="C58" s="4">
        <f>C56+1</f>
        <v>13</v>
      </c>
      <c r="F58" s="215"/>
      <c r="G58" s="215"/>
      <c r="H58" s="215"/>
      <c r="K58" s="216"/>
      <c r="L58" s="216"/>
      <c r="M58" s="216"/>
      <c r="N58" s="167" t="str">
        <f>IF($AQ$18=0,"Units?",IF($AQ$18=1,"ac",IF($AQ$18=2,"sq-ft","Error")))</f>
        <v>Units?</v>
      </c>
      <c r="O58" s="167"/>
      <c r="R58" s="216"/>
      <c r="S58" s="216"/>
      <c r="T58" s="216"/>
      <c r="U58" s="167" t="str">
        <f>IF($AQ$18=0,"Units?",IF($AQ$18=1,"ac",IF($AQ$18=2,"sq-ft","Error")))</f>
        <v>Units?</v>
      </c>
      <c r="V58" s="167"/>
      <c r="Y58" s="216"/>
      <c r="Z58" s="216"/>
      <c r="AA58" s="216"/>
      <c r="AB58" s="167" t="str">
        <f>IF($AQ$18=0,"Units?",IF($AQ$18=1,"ac",IF($AQ$18=2,"sq-ft","Error")))</f>
        <v>Units?</v>
      </c>
      <c r="AC58" s="167"/>
      <c r="AE58" s="66"/>
      <c r="AF58" s="34" t="s">
        <v>128</v>
      </c>
      <c r="AH58" s="66"/>
      <c r="AI58" s="34" t="s">
        <v>129</v>
      </c>
      <c r="AM58" s="118">
        <f>IF(OR(C58&lt;=$AH$20,C58&lt;=$AH$22),2,1)</f>
        <v>1</v>
      </c>
      <c r="AN58" s="118">
        <f>IF(ISBLANK(F58),1,2)</f>
        <v>1</v>
      </c>
      <c r="AP58" s="118">
        <f>IF(AND(ISBLANK(AE58),ISBLANK(AH58)),0,1)</f>
        <v>0</v>
      </c>
      <c r="AQ58" s="118">
        <f>IF(ISBLANK(AE58),1,IF(ISBLANK(AH58),2,3))</f>
        <v>1</v>
      </c>
      <c r="AR58" s="30"/>
      <c r="AS58" s="19"/>
      <c r="AT58" s="76"/>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30"/>
      <c r="BV58" s="30"/>
      <c r="BW58" s="30"/>
      <c r="BX58" s="30"/>
      <c r="BY58" s="30"/>
      <c r="BZ58" s="30"/>
      <c r="CA58" s="30"/>
      <c r="CB58" s="30"/>
      <c r="CC58" s="30"/>
      <c r="CD58" s="30"/>
      <c r="CE58" s="30"/>
      <c r="CF58" s="30"/>
      <c r="CG58" s="30"/>
      <c r="CH58" s="30"/>
      <c r="CI58" s="30"/>
      <c r="CJ58" s="30"/>
    </row>
    <row r="59" spans="3:88" ht="4.95" customHeight="1" x14ac:dyDescent="0.3">
      <c r="C59" s="4"/>
      <c r="F59" s="48"/>
      <c r="G59" s="48"/>
      <c r="K59" s="143"/>
      <c r="L59" s="143"/>
      <c r="M59" s="143"/>
      <c r="N59" s="14"/>
      <c r="O59" s="14"/>
      <c r="R59" s="143"/>
      <c r="S59" s="143"/>
      <c r="T59" s="143"/>
      <c r="U59" s="14"/>
      <c r="V59" s="14"/>
      <c r="Y59" s="143"/>
      <c r="Z59" s="143"/>
      <c r="AA59" s="143"/>
      <c r="AB59" s="14"/>
      <c r="AC59" s="14"/>
      <c r="AE59" s="144"/>
      <c r="AH59" s="144"/>
      <c r="AM59" s="145"/>
      <c r="AN59" s="145"/>
      <c r="AR59" s="30"/>
      <c r="AS59" s="19"/>
      <c r="AT59" s="76"/>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30"/>
      <c r="BV59" s="30"/>
      <c r="BW59" s="30"/>
      <c r="BX59" s="30"/>
      <c r="BY59" s="30"/>
      <c r="BZ59" s="30"/>
      <c r="CA59" s="30"/>
      <c r="CB59" s="30"/>
      <c r="CC59" s="30"/>
      <c r="CD59" s="30"/>
      <c r="CE59" s="30"/>
      <c r="CF59" s="30"/>
      <c r="CG59" s="30"/>
      <c r="CH59" s="30"/>
      <c r="CI59" s="30"/>
      <c r="CJ59" s="30"/>
    </row>
    <row r="60" spans="3:88" ht="15" customHeight="1" x14ac:dyDescent="0.3">
      <c r="C60" s="4">
        <f>C58+1</f>
        <v>14</v>
      </c>
      <c r="F60" s="215"/>
      <c r="G60" s="215"/>
      <c r="H60" s="215"/>
      <c r="K60" s="216"/>
      <c r="L60" s="216"/>
      <c r="M60" s="216"/>
      <c r="N60" s="167" t="str">
        <f>IF($AQ$18=0,"Units?",IF($AQ$18=1,"ac",IF($AQ$18=2,"sq-ft","Error")))</f>
        <v>Units?</v>
      </c>
      <c r="O60" s="167"/>
      <c r="R60" s="216"/>
      <c r="S60" s="216"/>
      <c r="T60" s="216"/>
      <c r="U60" s="167" t="str">
        <f>IF($AQ$18=0,"Units?",IF($AQ$18=1,"ac",IF($AQ$18=2,"sq-ft","Error")))</f>
        <v>Units?</v>
      </c>
      <c r="V60" s="167"/>
      <c r="Y60" s="216"/>
      <c r="Z60" s="216"/>
      <c r="AA60" s="216"/>
      <c r="AB60" s="167" t="str">
        <f>IF($AQ$18=0,"Units?",IF($AQ$18=1,"ac",IF($AQ$18=2,"sq-ft","Error")))</f>
        <v>Units?</v>
      </c>
      <c r="AC60" s="167"/>
      <c r="AE60" s="66"/>
      <c r="AF60" s="34" t="s">
        <v>128</v>
      </c>
      <c r="AH60" s="66"/>
      <c r="AI60" s="34" t="s">
        <v>129</v>
      </c>
      <c r="AM60" s="118">
        <f>IF(OR(C60&lt;=$AH$20,C60&lt;=$AH$22),2,1)</f>
        <v>1</v>
      </c>
      <c r="AN60" s="118">
        <f>IF(ISBLANK(F60),1,2)</f>
        <v>1</v>
      </c>
      <c r="AP60" s="118">
        <f>IF(AND(ISBLANK(AE60),ISBLANK(AH60)),0,1)</f>
        <v>0</v>
      </c>
      <c r="AQ60" s="118">
        <f>IF(ISBLANK(AE60),1,IF(ISBLANK(AH60),2,3))</f>
        <v>1</v>
      </c>
      <c r="AR60" s="30"/>
      <c r="AS60" s="19"/>
      <c r="AT60" s="76"/>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30"/>
      <c r="BV60" s="30"/>
      <c r="BW60" s="30"/>
      <c r="BX60" s="30"/>
      <c r="BY60" s="30"/>
      <c r="BZ60" s="30"/>
      <c r="CA60" s="30"/>
      <c r="CB60" s="30"/>
      <c r="CC60" s="30"/>
      <c r="CD60" s="30"/>
      <c r="CE60" s="30"/>
      <c r="CF60" s="30"/>
      <c r="CG60" s="30"/>
      <c r="CH60" s="30"/>
      <c r="CI60" s="30"/>
      <c r="CJ60" s="30"/>
    </row>
    <row r="61" spans="3:88" ht="4.95" customHeight="1" x14ac:dyDescent="0.3">
      <c r="C61" s="4"/>
      <c r="F61" s="48"/>
      <c r="G61" s="48"/>
      <c r="K61" s="143"/>
      <c r="L61" s="143"/>
      <c r="M61" s="143"/>
      <c r="N61" s="14"/>
      <c r="O61" s="14"/>
      <c r="R61" s="143"/>
      <c r="S61" s="143"/>
      <c r="T61" s="143"/>
      <c r="U61" s="14"/>
      <c r="V61" s="14"/>
      <c r="Y61" s="143"/>
      <c r="Z61" s="143"/>
      <c r="AA61" s="143"/>
      <c r="AB61" s="14"/>
      <c r="AC61" s="14"/>
      <c r="AE61" s="144"/>
      <c r="AH61" s="144"/>
      <c r="AM61" s="145"/>
      <c r="AN61" s="145"/>
      <c r="AR61" s="30"/>
      <c r="AS61" s="19"/>
      <c r="AT61" s="76"/>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30"/>
      <c r="BV61" s="30"/>
      <c r="BW61" s="30"/>
      <c r="BX61" s="30"/>
      <c r="BY61" s="30"/>
      <c r="BZ61" s="30"/>
      <c r="CA61" s="30"/>
      <c r="CB61" s="30"/>
      <c r="CC61" s="30"/>
      <c r="CD61" s="30"/>
      <c r="CE61" s="30"/>
      <c r="CF61" s="30"/>
      <c r="CG61" s="30"/>
      <c r="CH61" s="30"/>
      <c r="CI61" s="30"/>
      <c r="CJ61" s="30"/>
    </row>
    <row r="62" spans="3:88" ht="15" customHeight="1" x14ac:dyDescent="0.3">
      <c r="C62" s="4">
        <f t="shared" ref="C62" si="0">C60+1</f>
        <v>15</v>
      </c>
      <c r="F62" s="215"/>
      <c r="G62" s="215"/>
      <c r="H62" s="215"/>
      <c r="K62" s="216"/>
      <c r="L62" s="216"/>
      <c r="M62" s="216"/>
      <c r="N62" s="167" t="str">
        <f>IF($AQ$18=0,"Units?",IF($AQ$18=1,"ac",IF($AQ$18=2,"sq-ft","Error")))</f>
        <v>Units?</v>
      </c>
      <c r="O62" s="167"/>
      <c r="R62" s="216"/>
      <c r="S62" s="216"/>
      <c r="T62" s="216"/>
      <c r="U62" s="167" t="str">
        <f>IF($AQ$18=0,"Units?",IF($AQ$18=1,"ac",IF($AQ$18=2,"sq-ft","Error")))</f>
        <v>Units?</v>
      </c>
      <c r="V62" s="167"/>
      <c r="Y62" s="216"/>
      <c r="Z62" s="216"/>
      <c r="AA62" s="216"/>
      <c r="AB62" s="167" t="str">
        <f>IF($AQ$18=0,"Units?",IF($AQ$18=1,"ac",IF($AQ$18=2,"sq-ft","Error")))</f>
        <v>Units?</v>
      </c>
      <c r="AC62" s="167"/>
      <c r="AE62" s="66"/>
      <c r="AF62" s="34" t="s">
        <v>128</v>
      </c>
      <c r="AH62" s="66"/>
      <c r="AI62" s="34" t="s">
        <v>129</v>
      </c>
      <c r="AM62" s="118">
        <f>IF(OR(C62&lt;=$AH$20,C62&lt;=$AH$22),2,1)</f>
        <v>1</v>
      </c>
      <c r="AN62" s="118">
        <f>IF(ISBLANK(F62),1,2)</f>
        <v>1</v>
      </c>
      <c r="AP62" s="118">
        <f>IF(AND(ISBLANK(AE62),ISBLANK(AH62)),0,1)</f>
        <v>0</v>
      </c>
      <c r="AQ62" s="118">
        <f>IF(ISBLANK(AE62),1,IF(ISBLANK(AH62),2,3))</f>
        <v>1</v>
      </c>
      <c r="AR62" s="30"/>
      <c r="AS62" s="19"/>
      <c r="AT62" s="76"/>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30"/>
      <c r="BV62" s="30"/>
      <c r="BW62" s="30"/>
      <c r="BX62" s="30"/>
      <c r="BY62" s="30"/>
      <c r="BZ62" s="30"/>
      <c r="CA62" s="30"/>
      <c r="CB62" s="30"/>
      <c r="CC62" s="30"/>
      <c r="CD62" s="30"/>
      <c r="CE62" s="30"/>
      <c r="CF62" s="30"/>
      <c r="CG62" s="30"/>
      <c r="CH62" s="30"/>
      <c r="CI62" s="30"/>
      <c r="CJ62" s="30"/>
    </row>
    <row r="63" spans="3:88" ht="4.95" customHeight="1" x14ac:dyDescent="0.3">
      <c r="AR63" s="30"/>
      <c r="AS63" s="19"/>
      <c r="AT63" s="76"/>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30"/>
      <c r="BV63" s="30"/>
      <c r="BW63" s="30"/>
      <c r="BX63" s="30"/>
      <c r="BY63" s="30"/>
      <c r="BZ63" s="30"/>
      <c r="CA63" s="30"/>
      <c r="CB63" s="30"/>
      <c r="CC63" s="30"/>
      <c r="CD63" s="30"/>
      <c r="CE63" s="30"/>
      <c r="CF63" s="30"/>
      <c r="CG63" s="30"/>
      <c r="CH63" s="30"/>
      <c r="CI63" s="30"/>
      <c r="CJ63" s="30"/>
    </row>
    <row r="64" spans="3:88" ht="15" customHeight="1" x14ac:dyDescent="0.3">
      <c r="J64" s="2" t="s">
        <v>400</v>
      </c>
      <c r="K64" s="217">
        <f>SUM(K34:M62)</f>
        <v>0</v>
      </c>
      <c r="L64" s="217"/>
      <c r="M64" s="217"/>
      <c r="N64" s="167" t="str">
        <f>IF($AQ$18=0,"Units?",IF($AQ$18=1,"ac",IF($AQ$18=2,"sq-ft","Error")))</f>
        <v>Units?</v>
      </c>
      <c r="O64" s="167"/>
      <c r="Q64" s="2" t="s">
        <v>400</v>
      </c>
      <c r="R64" s="218">
        <f>IF(ISERR(SUM(R34:T62)),0,SUM(R34:T62))</f>
        <v>0</v>
      </c>
      <c r="S64" s="218"/>
      <c r="T64" s="218"/>
      <c r="U64" s="167" t="str">
        <f>IF($AQ$18=0,"Units?",IF($AQ$18=1,"ac",IF($AQ$18=2,"sq-ft","Error")))</f>
        <v>Units?</v>
      </c>
      <c r="V64" s="167"/>
      <c r="X64" s="2" t="s">
        <v>400</v>
      </c>
      <c r="Y64" s="218">
        <f>IF(ISERR(SUM(Y34:AA62)),0,SUM(Y34:AA62))</f>
        <v>0</v>
      </c>
      <c r="Z64" s="218"/>
      <c r="AA64" s="218"/>
      <c r="AB64" s="167" t="str">
        <f>IF($AQ$18=0,"Units?",IF($AQ$18=1,"ac",IF($AQ$18=2,"sq-ft","Error")))</f>
        <v>Units?</v>
      </c>
      <c r="AC64" s="167"/>
      <c r="AR64" s="30"/>
      <c r="AS64" s="19"/>
      <c r="AT64" s="76"/>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30"/>
      <c r="BV64" s="30"/>
      <c r="BW64" s="30"/>
      <c r="BX64" s="30"/>
      <c r="BY64" s="30"/>
      <c r="BZ64" s="30"/>
      <c r="CA64" s="30"/>
      <c r="CB64" s="30"/>
      <c r="CC64" s="30"/>
      <c r="CD64" s="30"/>
      <c r="CE64" s="30"/>
      <c r="CF64" s="30"/>
      <c r="CG64" s="30"/>
      <c r="CH64" s="30"/>
      <c r="CI64" s="30"/>
      <c r="CJ64" s="30"/>
    </row>
    <row r="65" spans="2:88" ht="15" customHeight="1" x14ac:dyDescent="0.3">
      <c r="R65" s="208">
        <f>IF(ISERR(R64/$K64),0,R64/$K64)</f>
        <v>0</v>
      </c>
      <c r="S65" s="208"/>
      <c r="T65" s="208"/>
      <c r="U65" s="34" t="s">
        <v>399</v>
      </c>
      <c r="Y65" s="208">
        <f>IF(ISERR(Y64/$K64),0,Y64/$K64)</f>
        <v>0</v>
      </c>
      <c r="Z65" s="208"/>
      <c r="AA65" s="208"/>
      <c r="AB65" s="34" t="s">
        <v>399</v>
      </c>
      <c r="AR65" s="30"/>
      <c r="AS65" s="19"/>
      <c r="AT65" s="76"/>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30"/>
      <c r="BV65" s="30"/>
      <c r="BW65" s="30"/>
      <c r="BX65" s="30"/>
      <c r="BY65" s="30"/>
      <c r="BZ65" s="30"/>
      <c r="CA65" s="30"/>
      <c r="CB65" s="30"/>
      <c r="CC65" s="30"/>
      <c r="CD65" s="30"/>
      <c r="CE65" s="30"/>
      <c r="CF65" s="30"/>
      <c r="CG65" s="30"/>
      <c r="CH65" s="30"/>
      <c r="CI65" s="30"/>
      <c r="CJ65" s="30"/>
    </row>
    <row r="66" spans="2:88" ht="15" customHeight="1" x14ac:dyDescent="0.3">
      <c r="B66" s="186">
        <f>Tables!$C$13</f>
        <v>45566</v>
      </c>
      <c r="C66" s="186"/>
      <c r="D66" s="186"/>
      <c r="E66" s="186"/>
      <c r="F66" s="186"/>
      <c r="G66" s="186"/>
      <c r="H66" s="186"/>
      <c r="R66" s="185" t="s">
        <v>401</v>
      </c>
      <c r="S66" s="185"/>
      <c r="T66" s="185"/>
      <c r="U66" s="185"/>
      <c r="AR66" s="30"/>
      <c r="AS66" s="19"/>
      <c r="AT66" s="76"/>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30"/>
      <c r="BV66" s="30"/>
      <c r="BW66" s="30"/>
      <c r="BX66" s="30"/>
      <c r="BY66" s="30"/>
      <c r="BZ66" s="30"/>
      <c r="CA66" s="30"/>
      <c r="CB66" s="30"/>
      <c r="CC66" s="30"/>
      <c r="CD66" s="30"/>
      <c r="CE66" s="30"/>
      <c r="CF66" s="30"/>
      <c r="CG66" s="30"/>
      <c r="CH66" s="30"/>
      <c r="CI66" s="30"/>
      <c r="CJ66" s="30"/>
    </row>
    <row r="67" spans="2:88" ht="15" customHeight="1" x14ac:dyDescent="0.3">
      <c r="B67" s="147"/>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R67" s="30"/>
      <c r="AS67" s="19"/>
      <c r="AT67" s="76"/>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30"/>
      <c r="BV67" s="30"/>
      <c r="BW67" s="30"/>
      <c r="BX67" s="30"/>
      <c r="BY67" s="30"/>
      <c r="BZ67" s="30"/>
      <c r="CA67" s="30"/>
      <c r="CB67" s="30"/>
      <c r="CC67" s="30"/>
      <c r="CD67" s="30"/>
      <c r="CE67" s="30"/>
      <c r="CF67" s="30"/>
      <c r="CG67" s="30"/>
      <c r="CH67" s="30"/>
      <c r="CI67" s="30"/>
      <c r="CJ67" s="30"/>
    </row>
    <row r="68" spans="2:88" ht="15" customHeight="1" x14ac:dyDescent="0.3">
      <c r="C68" s="2" t="s">
        <v>144</v>
      </c>
      <c r="D68" s="173">
        <f>IF(ISBLANK($E$14),0,$E$14)</f>
        <v>0</v>
      </c>
      <c r="E68" s="173"/>
      <c r="F68" s="173"/>
      <c r="G68" s="173"/>
      <c r="H68" s="173"/>
      <c r="I68" s="173"/>
      <c r="J68" s="173"/>
      <c r="K68" s="173"/>
      <c r="L68" s="173"/>
      <c r="M68" s="173"/>
      <c r="N68" s="173"/>
      <c r="O68" s="173"/>
      <c r="P68" s="173"/>
      <c r="Q68" s="173"/>
      <c r="R68" s="173"/>
      <c r="S68" s="173"/>
      <c r="T68" s="173"/>
      <c r="U68" s="173"/>
      <c r="V68" s="173"/>
      <c r="W68" s="173"/>
      <c r="X68" s="173"/>
      <c r="Y68" s="173"/>
      <c r="AD68" s="2" t="s">
        <v>208</v>
      </c>
      <c r="AE68" s="174">
        <f>IF(ISBLANK($AE$14),0,$AE$14)</f>
        <v>0</v>
      </c>
      <c r="AF68" s="174"/>
      <c r="AG68" s="174"/>
      <c r="AH68" s="174"/>
      <c r="AI68" s="174"/>
      <c r="AJ68" s="174"/>
      <c r="AR68" s="30"/>
      <c r="AS68" s="19"/>
      <c r="AT68" s="76"/>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30"/>
      <c r="BV68" s="30"/>
      <c r="BW68" s="30"/>
      <c r="BX68" s="30"/>
      <c r="BY68" s="30"/>
      <c r="BZ68" s="30"/>
      <c r="CA68" s="30"/>
      <c r="CB68" s="30"/>
      <c r="CC68" s="30"/>
      <c r="CD68" s="30"/>
      <c r="CE68" s="30"/>
      <c r="CF68" s="30"/>
      <c r="CG68" s="30"/>
      <c r="CH68" s="30"/>
      <c r="CI68" s="30"/>
      <c r="CJ68" s="30"/>
    </row>
    <row r="69" spans="2:88" ht="15" customHeight="1" x14ac:dyDescent="0.3">
      <c r="B69" s="5"/>
      <c r="AR69" s="30"/>
      <c r="AS69" s="19"/>
      <c r="AT69" s="76"/>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30"/>
      <c r="BV69" s="30"/>
      <c r="BW69" s="30"/>
      <c r="BX69" s="30"/>
      <c r="BY69" s="30"/>
      <c r="BZ69" s="30"/>
      <c r="CA69" s="30"/>
      <c r="CB69" s="30"/>
      <c r="CC69" s="30"/>
      <c r="CD69" s="30"/>
      <c r="CE69" s="30"/>
      <c r="CF69" s="30"/>
      <c r="CG69" s="30"/>
      <c r="CH69" s="30"/>
      <c r="CI69" s="30"/>
      <c r="CJ69" s="30"/>
    </row>
    <row r="70" spans="2:88" ht="15" customHeight="1" x14ac:dyDescent="0.3">
      <c r="B70" s="5" t="s">
        <v>23</v>
      </c>
      <c r="AR70" s="30"/>
      <c r="AS70" s="19"/>
      <c r="AT70" s="76"/>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30"/>
      <c r="BV70" s="30"/>
      <c r="BW70" s="30"/>
      <c r="BX70" s="30"/>
      <c r="BY70" s="30"/>
      <c r="BZ70" s="30"/>
      <c r="CA70" s="30"/>
      <c r="CB70" s="30"/>
      <c r="CC70" s="30"/>
      <c r="CD70" s="30"/>
      <c r="CE70" s="30"/>
      <c r="CF70" s="30"/>
      <c r="CG70" s="30"/>
      <c r="CH70" s="30"/>
      <c r="CI70" s="30"/>
      <c r="CJ70" s="30"/>
    </row>
    <row r="71" spans="2:88" ht="15" customHeight="1" x14ac:dyDescent="0.3">
      <c r="B71" s="193"/>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5"/>
      <c r="AM71" s="118">
        <f>IF(SUM(AO24,AO26,AO28,AO30)&gt;0,2,1)</f>
        <v>1</v>
      </c>
      <c r="AR71" s="30"/>
      <c r="AS71" s="19"/>
      <c r="AT71" s="76"/>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30"/>
      <c r="BV71" s="30"/>
      <c r="BW71" s="30"/>
      <c r="BX71" s="30"/>
      <c r="BY71" s="30"/>
      <c r="BZ71" s="30"/>
      <c r="CA71" s="30"/>
      <c r="CB71" s="30"/>
      <c r="CC71" s="30"/>
      <c r="CD71" s="30"/>
      <c r="CE71" s="30"/>
      <c r="CF71" s="30"/>
      <c r="CG71" s="30"/>
      <c r="CH71" s="30"/>
      <c r="CI71" s="30"/>
      <c r="CJ71" s="30"/>
    </row>
    <row r="72" spans="2:88" ht="15" customHeight="1" x14ac:dyDescent="0.3">
      <c r="B72" s="196"/>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8"/>
      <c r="AR72" s="30"/>
      <c r="AS72" s="19"/>
      <c r="AT72" s="76"/>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30"/>
      <c r="BV72" s="30"/>
      <c r="BW72" s="30"/>
      <c r="BX72" s="30"/>
      <c r="BY72" s="30"/>
      <c r="BZ72" s="30"/>
      <c r="CA72" s="30"/>
      <c r="CB72" s="30"/>
      <c r="CC72" s="30"/>
      <c r="CD72" s="30"/>
      <c r="CE72" s="30"/>
      <c r="CF72" s="30"/>
      <c r="CG72" s="30"/>
      <c r="CH72" s="30"/>
      <c r="CI72" s="30"/>
      <c r="CJ72" s="30"/>
    </row>
    <row r="73" spans="2:88" ht="15" customHeight="1" x14ac:dyDescent="0.3">
      <c r="B73" s="196"/>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8"/>
      <c r="AR73" s="30"/>
      <c r="AS73" s="19"/>
      <c r="AT73" s="76"/>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30"/>
      <c r="BV73" s="30"/>
      <c r="BW73" s="30"/>
      <c r="BX73" s="30"/>
      <c r="BY73" s="30"/>
      <c r="BZ73" s="30"/>
      <c r="CA73" s="30"/>
      <c r="CB73" s="30"/>
      <c r="CC73" s="30"/>
      <c r="CD73" s="30"/>
      <c r="CE73" s="30"/>
      <c r="CF73" s="30"/>
      <c r="CG73" s="30"/>
      <c r="CH73" s="30"/>
      <c r="CI73" s="30"/>
      <c r="CJ73" s="30"/>
    </row>
    <row r="74" spans="2:88" ht="15" customHeight="1" x14ac:dyDescent="0.3">
      <c r="B74" s="196"/>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8"/>
      <c r="AR74" s="30"/>
      <c r="AS74" s="19"/>
      <c r="AT74" s="76"/>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30"/>
      <c r="BV74" s="30"/>
      <c r="BW74" s="30"/>
      <c r="BX74" s="30"/>
      <c r="BY74" s="30"/>
      <c r="BZ74" s="30"/>
      <c r="CA74" s="30"/>
      <c r="CB74" s="30"/>
      <c r="CC74" s="30"/>
      <c r="CD74" s="30"/>
      <c r="CE74" s="30"/>
      <c r="CF74" s="30"/>
      <c r="CG74" s="30"/>
      <c r="CH74" s="30"/>
      <c r="CI74" s="30"/>
      <c r="CJ74" s="30"/>
    </row>
    <row r="75" spans="2:88" ht="15" customHeight="1" x14ac:dyDescent="0.3">
      <c r="B75" s="196"/>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8"/>
      <c r="AR75" s="30"/>
      <c r="AS75" s="19"/>
      <c r="AT75" s="76"/>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30"/>
      <c r="BV75" s="30"/>
      <c r="BW75" s="30"/>
      <c r="BX75" s="30"/>
      <c r="BY75" s="30"/>
      <c r="BZ75" s="30"/>
      <c r="CA75" s="30"/>
      <c r="CB75" s="30"/>
      <c r="CC75" s="30"/>
      <c r="CD75" s="30"/>
      <c r="CE75" s="30"/>
      <c r="CF75" s="30"/>
      <c r="CG75" s="30"/>
      <c r="CH75" s="30"/>
      <c r="CI75" s="30"/>
      <c r="CJ75" s="30"/>
    </row>
    <row r="76" spans="2:88" ht="15" customHeight="1" x14ac:dyDescent="0.3">
      <c r="B76" s="199"/>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1"/>
      <c r="AR76" s="30"/>
      <c r="AS76" s="19"/>
      <c r="AT76" s="76"/>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30"/>
      <c r="BV76" s="30"/>
      <c r="BW76" s="30"/>
      <c r="BX76" s="30"/>
      <c r="BY76" s="30"/>
      <c r="BZ76" s="30"/>
      <c r="CA76" s="30"/>
      <c r="CB76" s="30"/>
      <c r="CC76" s="30"/>
      <c r="CD76" s="30"/>
      <c r="CE76" s="30"/>
      <c r="CF76" s="30"/>
      <c r="CG76" s="30"/>
      <c r="CH76" s="30"/>
      <c r="CI76" s="30"/>
      <c r="CJ76" s="30"/>
    </row>
    <row r="77" spans="2:88" ht="15" customHeight="1" x14ac:dyDescent="0.3">
      <c r="B77" s="5"/>
      <c r="AR77" s="30"/>
      <c r="AS77" s="19"/>
      <c r="AT77" s="76"/>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30"/>
      <c r="BV77" s="30"/>
      <c r="BW77" s="30"/>
      <c r="BX77" s="30"/>
      <c r="BY77" s="30"/>
      <c r="BZ77" s="30"/>
      <c r="CA77" s="30"/>
      <c r="CB77" s="30"/>
      <c r="CC77" s="30"/>
      <c r="CD77" s="30"/>
      <c r="CE77" s="30"/>
      <c r="CF77" s="30"/>
      <c r="CG77" s="30"/>
      <c r="CH77" s="30"/>
      <c r="CI77" s="30"/>
      <c r="CJ77" s="30"/>
    </row>
    <row r="78" spans="2:88" ht="15" customHeight="1" x14ac:dyDescent="0.3">
      <c r="B78" s="1" t="s">
        <v>19</v>
      </c>
      <c r="C78" s="1"/>
      <c r="D78" s="1"/>
      <c r="AR78" s="30"/>
      <c r="AS78" s="30"/>
      <c r="AT78" s="14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row>
    <row r="79" spans="2:88" ht="4.95" customHeight="1" x14ac:dyDescent="0.3">
      <c r="B79" s="1"/>
      <c r="C79" s="1"/>
      <c r="D79" s="1"/>
      <c r="AR79" s="30"/>
      <c r="AS79" s="30"/>
      <c r="AT79" s="14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row>
    <row r="80" spans="2:88" ht="15" customHeight="1" x14ac:dyDescent="0.3">
      <c r="B80" s="111" t="s">
        <v>404</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R80" s="30"/>
      <c r="AS80" s="30"/>
      <c r="AT80" s="14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row>
    <row r="81" spans="2:88" ht="15" customHeight="1" x14ac:dyDescent="0.3">
      <c r="B81" s="111" t="s">
        <v>405</v>
      </c>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R81" s="30"/>
      <c r="AS81" s="30"/>
      <c r="AT81" s="14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row>
    <row r="82" spans="2:88" ht="15" customHeight="1" x14ac:dyDescent="0.3">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R82" s="30"/>
      <c r="AS82" s="30"/>
      <c r="AT82" s="14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row>
    <row r="83" spans="2:88" ht="15" customHeight="1" x14ac:dyDescent="0.3">
      <c r="D83" s="2" t="s">
        <v>213</v>
      </c>
      <c r="E83" s="181"/>
      <c r="F83" s="181"/>
      <c r="G83" s="181"/>
      <c r="H83" s="181"/>
      <c r="I83" s="181"/>
      <c r="J83" s="181"/>
      <c r="K83" s="181"/>
      <c r="L83" s="181"/>
      <c r="M83" s="181"/>
      <c r="N83" s="181"/>
      <c r="O83" s="181"/>
      <c r="P83" s="181"/>
      <c r="Q83" s="181"/>
      <c r="R83" s="181"/>
      <c r="S83" s="181"/>
      <c r="T83" s="181"/>
      <c r="U83" s="181"/>
      <c r="V83" s="181"/>
      <c r="W83" s="181"/>
      <c r="X83" s="181"/>
      <c r="Y83" s="181"/>
      <c r="AB83" s="2" t="s">
        <v>358</v>
      </c>
      <c r="AC83" s="2"/>
      <c r="AD83" s="2"/>
      <c r="AE83" s="2"/>
      <c r="AR83" s="30"/>
      <c r="AS83" s="30"/>
      <c r="AT83" s="14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row>
    <row r="84" spans="2:88" ht="15" customHeight="1" x14ac:dyDescent="0.3">
      <c r="D84" s="2" t="s">
        <v>144</v>
      </c>
      <c r="E84" s="182"/>
      <c r="F84" s="182"/>
      <c r="G84" s="182"/>
      <c r="H84" s="182"/>
      <c r="I84" s="182"/>
      <c r="J84" s="182"/>
      <c r="K84" s="182"/>
      <c r="L84" s="182"/>
      <c r="M84" s="182"/>
      <c r="N84" s="182"/>
      <c r="O84" s="182"/>
      <c r="P84" s="182"/>
      <c r="Q84" s="182"/>
      <c r="R84" s="182"/>
      <c r="S84" s="182"/>
      <c r="T84" s="182"/>
      <c r="U84" s="182"/>
      <c r="V84" s="182"/>
      <c r="W84" s="182"/>
      <c r="X84" s="182"/>
      <c r="Y84" s="182"/>
      <c r="AR84" s="30"/>
      <c r="AS84" s="30"/>
      <c r="AT84" s="14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row>
    <row r="85" spans="2:88" ht="15" customHeight="1" x14ac:dyDescent="0.3">
      <c r="D85" s="2" t="s">
        <v>145</v>
      </c>
      <c r="E85" s="182"/>
      <c r="F85" s="182"/>
      <c r="G85" s="182"/>
      <c r="H85" s="182"/>
      <c r="I85" s="182"/>
      <c r="J85" s="182"/>
      <c r="K85" s="182"/>
      <c r="L85" s="182"/>
      <c r="M85" s="182"/>
      <c r="N85" s="182"/>
      <c r="O85" s="182"/>
      <c r="P85" s="182"/>
      <c r="Q85" s="182"/>
      <c r="R85" s="182"/>
      <c r="S85" s="182"/>
      <c r="T85" s="182"/>
      <c r="U85" s="182"/>
      <c r="V85" s="182"/>
      <c r="W85" s="182"/>
      <c r="X85" s="182"/>
      <c r="Y85" s="182"/>
      <c r="AR85" s="30"/>
      <c r="AS85" s="30"/>
      <c r="AT85" s="14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row>
    <row r="86" spans="2:88" ht="15" customHeight="1" x14ac:dyDescent="0.3">
      <c r="D86" s="2" t="s">
        <v>301</v>
      </c>
      <c r="E86" s="182"/>
      <c r="F86" s="182"/>
      <c r="G86" s="182"/>
      <c r="H86" s="182"/>
      <c r="I86" s="182"/>
      <c r="J86" s="182"/>
      <c r="K86" s="182"/>
      <c r="L86" s="74"/>
      <c r="M86" s="74"/>
      <c r="N86" s="132" t="s">
        <v>148</v>
      </c>
      <c r="O86" s="182"/>
      <c r="P86" s="182"/>
      <c r="Q86" s="182"/>
      <c r="R86" s="182"/>
      <c r="S86" s="74"/>
      <c r="T86" s="74"/>
      <c r="U86" s="74"/>
      <c r="V86" s="132" t="s">
        <v>149</v>
      </c>
      <c r="W86" s="179"/>
      <c r="X86" s="179"/>
      <c r="Y86" s="179"/>
      <c r="AR86" s="30"/>
      <c r="AS86" s="30"/>
      <c r="AT86" s="14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row>
    <row r="87" spans="2:88" ht="15" customHeight="1" x14ac:dyDescent="0.3">
      <c r="C87" s="75"/>
      <c r="D87" s="2" t="s">
        <v>146</v>
      </c>
      <c r="E87" s="202"/>
      <c r="F87" s="202"/>
      <c r="G87" s="202"/>
      <c r="H87" s="202"/>
      <c r="I87" s="202"/>
      <c r="J87" s="202"/>
      <c r="K87" s="202"/>
      <c r="L87" s="202"/>
      <c r="M87" s="202"/>
      <c r="N87" s="202"/>
      <c r="O87" s="202"/>
      <c r="P87" s="202"/>
      <c r="Q87" s="202"/>
      <c r="R87" s="202"/>
      <c r="S87" s="202"/>
      <c r="T87" s="202"/>
      <c r="U87" s="202"/>
      <c r="V87" s="202"/>
      <c r="W87" s="202"/>
      <c r="X87" s="202"/>
      <c r="Y87" s="202"/>
      <c r="AR87" s="30"/>
      <c r="AS87" s="30"/>
      <c r="AT87" s="14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row>
    <row r="88" spans="2:88" ht="15" customHeight="1" x14ac:dyDescent="0.3">
      <c r="D88" s="2" t="s">
        <v>150</v>
      </c>
      <c r="E88" s="203"/>
      <c r="F88" s="203"/>
      <c r="G88" s="203"/>
      <c r="H88" s="203"/>
      <c r="I88" s="203"/>
      <c r="U88" s="63"/>
      <c r="V88" s="63"/>
      <c r="W88" s="63"/>
      <c r="AR88" s="30"/>
      <c r="AS88" s="30"/>
      <c r="AT88" s="14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row>
    <row r="89" spans="2:88" ht="15" customHeight="1" x14ac:dyDescent="0.3">
      <c r="D89" s="2"/>
      <c r="E89" s="74"/>
      <c r="F89" s="74"/>
      <c r="G89" s="74"/>
      <c r="H89" s="74"/>
      <c r="I89" s="74"/>
      <c r="U89" s="63"/>
      <c r="V89" s="63"/>
      <c r="W89" s="63"/>
      <c r="AR89" s="30"/>
      <c r="AS89" s="30"/>
      <c r="AT89" s="14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row>
    <row r="90" spans="2:88" ht="15" customHeight="1" x14ac:dyDescent="0.3">
      <c r="D90" s="2" t="s">
        <v>214</v>
      </c>
      <c r="E90" s="102"/>
      <c r="F90" s="102"/>
      <c r="G90" s="102"/>
      <c r="H90" s="102"/>
      <c r="I90" s="102"/>
      <c r="J90" s="102"/>
      <c r="K90" s="102"/>
      <c r="L90" s="102"/>
      <c r="M90" s="102"/>
      <c r="N90" s="102"/>
      <c r="O90" s="102"/>
      <c r="P90" s="102"/>
      <c r="Q90" s="102"/>
      <c r="R90" s="102"/>
      <c r="S90" s="102"/>
      <c r="T90" s="102"/>
      <c r="U90" s="63"/>
      <c r="V90" s="63"/>
      <c r="W90" s="63"/>
      <c r="AB90" s="2" t="s">
        <v>208</v>
      </c>
      <c r="AC90" s="178"/>
      <c r="AD90" s="178"/>
      <c r="AE90" s="178"/>
      <c r="AF90" s="178"/>
      <c r="AG90" s="178"/>
      <c r="AR90" s="30"/>
      <c r="AS90" s="30"/>
      <c r="AT90" s="14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row>
    <row r="91" spans="2:88" ht="15" customHeight="1" x14ac:dyDescent="0.3">
      <c r="AR91" s="30"/>
      <c r="AS91" s="30"/>
      <c r="AT91" s="14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row>
    <row r="92" spans="2:88" ht="15" customHeight="1" x14ac:dyDescent="0.3">
      <c r="AR92" s="30"/>
      <c r="AS92" s="30"/>
      <c r="AT92" s="14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row>
    <row r="93" spans="2:88" ht="15" customHeight="1" x14ac:dyDescent="0.3">
      <c r="AR93" s="30"/>
      <c r="AS93" s="30"/>
      <c r="AT93" s="14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row>
    <row r="94" spans="2:88" ht="15" customHeight="1" x14ac:dyDescent="0.3">
      <c r="AR94" s="30"/>
      <c r="AS94" s="30"/>
      <c r="AT94" s="14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row>
    <row r="95" spans="2:88" ht="15" customHeight="1" x14ac:dyDescent="0.3">
      <c r="AR95" s="30"/>
      <c r="AS95" s="30"/>
      <c r="AT95" s="14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row>
    <row r="96" spans="2:88" ht="15" customHeight="1" x14ac:dyDescent="0.3">
      <c r="AR96" s="30"/>
      <c r="AS96" s="30"/>
      <c r="AT96" s="14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row>
    <row r="97" spans="44:88" ht="15" customHeight="1" x14ac:dyDescent="0.3">
      <c r="AR97" s="30"/>
      <c r="AS97" s="30"/>
      <c r="AT97" s="14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row>
    <row r="98" spans="44:88" ht="15" customHeight="1" x14ac:dyDescent="0.3">
      <c r="AR98" s="30"/>
      <c r="AS98" s="30"/>
      <c r="AT98" s="14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row>
    <row r="99" spans="44:88" ht="15" customHeight="1" x14ac:dyDescent="0.3">
      <c r="AR99" s="30"/>
      <c r="AS99" s="30"/>
      <c r="AT99" s="14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row>
    <row r="100" spans="44:88" ht="15" customHeight="1" x14ac:dyDescent="0.3">
      <c r="AR100" s="30"/>
      <c r="AS100" s="30"/>
      <c r="AT100" s="14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row>
    <row r="101" spans="44:88" ht="15" customHeight="1" x14ac:dyDescent="0.3">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row>
    <row r="102" spans="44:88" ht="15" customHeight="1" x14ac:dyDescent="0.3">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row>
    <row r="103" spans="44:88" ht="15" customHeight="1" x14ac:dyDescent="0.3">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row>
    <row r="104" spans="44:88" ht="15" customHeight="1" x14ac:dyDescent="0.3">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row>
    <row r="105" spans="44:88" ht="15" customHeight="1" x14ac:dyDescent="0.3">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row>
    <row r="106" spans="44:88" ht="15" customHeight="1" x14ac:dyDescent="0.3">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row>
    <row r="107" spans="44:88" ht="15" customHeight="1" x14ac:dyDescent="0.3">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row>
    <row r="108" spans="44:88" ht="15" customHeight="1" x14ac:dyDescent="0.3">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row>
    <row r="109" spans="44:88" ht="15" customHeight="1" x14ac:dyDescent="0.3">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row>
    <row r="110" spans="44:88" ht="15" customHeight="1" x14ac:dyDescent="0.3">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row>
    <row r="111" spans="44:88" ht="15" customHeight="1" x14ac:dyDescent="0.3">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row>
    <row r="112" spans="44:88" ht="15" customHeight="1" x14ac:dyDescent="0.3">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row>
    <row r="113" spans="2:88" ht="15" customHeight="1" x14ac:dyDescent="0.3">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row>
    <row r="114" spans="2:88" ht="15" customHeight="1" x14ac:dyDescent="0.3">
      <c r="B114" s="186">
        <f>Tables!$C$13</f>
        <v>45566</v>
      </c>
      <c r="C114" s="186"/>
      <c r="D114" s="186"/>
      <c r="E114" s="186"/>
      <c r="F114" s="186"/>
      <c r="G114" s="186"/>
      <c r="H114" s="186"/>
      <c r="R114" s="185" t="s">
        <v>402</v>
      </c>
      <c r="S114" s="185"/>
      <c r="T114" s="185"/>
      <c r="U114" s="185"/>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row>
    <row r="115" spans="2:88" ht="15" customHeight="1" x14ac:dyDescent="0.3">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row>
    <row r="116" spans="2:88" ht="15" customHeight="1" x14ac:dyDescent="0.3">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row>
    <row r="117" spans="2:88" ht="15" customHeight="1" x14ac:dyDescent="0.3">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row>
  </sheetData>
  <sheetProtection algorithmName="SHA-512" hashValue="b/xO64/g2PCyQAVPvbHMjuDldLTnRNs9xKG2QvZXzW+pfdA57FXULtytoDN7YHDFAkIKLk582Ue+kSiwiif9mg==" saltValue="4fpta4f4Nnv3iWcRAXF8qg==" spinCount="100000" sheet="1" objects="1" scenarios="1" selectLockedCells="1"/>
  <mergeCells count="154">
    <mergeCell ref="B114:H114"/>
    <mergeCell ref="R114:U114"/>
    <mergeCell ref="E86:K86"/>
    <mergeCell ref="O86:R86"/>
    <mergeCell ref="W86:Y86"/>
    <mergeCell ref="E87:Y87"/>
    <mergeCell ref="E88:I88"/>
    <mergeCell ref="AC90:AG90"/>
    <mergeCell ref="D68:Y68"/>
    <mergeCell ref="AE68:AJ68"/>
    <mergeCell ref="B71:AJ76"/>
    <mergeCell ref="E83:Y83"/>
    <mergeCell ref="E84:Y84"/>
    <mergeCell ref="E85:Y85"/>
    <mergeCell ref="K64:M64"/>
    <mergeCell ref="N64:O64"/>
    <mergeCell ref="R64:T64"/>
    <mergeCell ref="U64:V64"/>
    <mergeCell ref="Y64:AA64"/>
    <mergeCell ref="B66:H66"/>
    <mergeCell ref="R66:U66"/>
    <mergeCell ref="F62:H62"/>
    <mergeCell ref="K62:M62"/>
    <mergeCell ref="N62:O62"/>
    <mergeCell ref="R62:T62"/>
    <mergeCell ref="U62:V62"/>
    <mergeCell ref="Y62:AA62"/>
    <mergeCell ref="F60:H60"/>
    <mergeCell ref="K60:M60"/>
    <mergeCell ref="N60:O60"/>
    <mergeCell ref="R60:T60"/>
    <mergeCell ref="U60:V60"/>
    <mergeCell ref="Y60:AA60"/>
    <mergeCell ref="F58:H58"/>
    <mergeCell ref="K58:M58"/>
    <mergeCell ref="N58:O58"/>
    <mergeCell ref="R58:T58"/>
    <mergeCell ref="U58:V58"/>
    <mergeCell ref="Y58:AA58"/>
    <mergeCell ref="F56:H56"/>
    <mergeCell ref="K56:M56"/>
    <mergeCell ref="N56:O56"/>
    <mergeCell ref="R56:T56"/>
    <mergeCell ref="U56:V56"/>
    <mergeCell ref="Y56:AA56"/>
    <mergeCell ref="F54:H54"/>
    <mergeCell ref="K54:M54"/>
    <mergeCell ref="N54:O54"/>
    <mergeCell ref="R54:T54"/>
    <mergeCell ref="U54:V54"/>
    <mergeCell ref="Y54:AA54"/>
    <mergeCell ref="F52:H52"/>
    <mergeCell ref="K52:M52"/>
    <mergeCell ref="N52:O52"/>
    <mergeCell ref="R52:T52"/>
    <mergeCell ref="U52:V52"/>
    <mergeCell ref="Y52:AA52"/>
    <mergeCell ref="F50:H50"/>
    <mergeCell ref="K50:M50"/>
    <mergeCell ref="N50:O50"/>
    <mergeCell ref="R50:T50"/>
    <mergeCell ref="U50:V50"/>
    <mergeCell ref="Y50:AA50"/>
    <mergeCell ref="F48:H48"/>
    <mergeCell ref="K48:M48"/>
    <mergeCell ref="N48:O48"/>
    <mergeCell ref="R48:T48"/>
    <mergeCell ref="U48:V48"/>
    <mergeCell ref="Y48:AA48"/>
    <mergeCell ref="F46:H46"/>
    <mergeCell ref="K46:M46"/>
    <mergeCell ref="N46:O46"/>
    <mergeCell ref="R46:T46"/>
    <mergeCell ref="U46:V46"/>
    <mergeCell ref="Y46:AA46"/>
    <mergeCell ref="F44:H44"/>
    <mergeCell ref="K44:M44"/>
    <mergeCell ref="N44:O44"/>
    <mergeCell ref="R44:T44"/>
    <mergeCell ref="U44:V44"/>
    <mergeCell ref="Y44:AA44"/>
    <mergeCell ref="F42:H42"/>
    <mergeCell ref="K42:M42"/>
    <mergeCell ref="N42:O42"/>
    <mergeCell ref="R42:T42"/>
    <mergeCell ref="U42:V42"/>
    <mergeCell ref="Y42:AA42"/>
    <mergeCell ref="F40:H40"/>
    <mergeCell ref="K40:M40"/>
    <mergeCell ref="N40:O40"/>
    <mergeCell ref="R40:T40"/>
    <mergeCell ref="U40:V40"/>
    <mergeCell ref="Y40:AA40"/>
    <mergeCell ref="F38:H38"/>
    <mergeCell ref="K38:M38"/>
    <mergeCell ref="N38:O38"/>
    <mergeCell ref="R38:T38"/>
    <mergeCell ref="U38:V38"/>
    <mergeCell ref="Y38:AA38"/>
    <mergeCell ref="AH22:AI22"/>
    <mergeCell ref="B33:D33"/>
    <mergeCell ref="F33:H33"/>
    <mergeCell ref="K33:M33"/>
    <mergeCell ref="R33:T33"/>
    <mergeCell ref="Y33:AA33"/>
    <mergeCell ref="F36:H36"/>
    <mergeCell ref="K36:M36"/>
    <mergeCell ref="N36:O36"/>
    <mergeCell ref="R36:T36"/>
    <mergeCell ref="U36:V36"/>
    <mergeCell ref="Y36:AA36"/>
    <mergeCell ref="F34:H34"/>
    <mergeCell ref="K34:M34"/>
    <mergeCell ref="N34:O34"/>
    <mergeCell ref="R34:T34"/>
    <mergeCell ref="U34:V34"/>
    <mergeCell ref="Y34:AA34"/>
    <mergeCell ref="K32:M32"/>
    <mergeCell ref="AB34:AC34"/>
    <mergeCell ref="AB36:AC36"/>
    <mergeCell ref="E16:K16"/>
    <mergeCell ref="O16:R16"/>
    <mergeCell ref="W16:Y16"/>
    <mergeCell ref="AE16:AJ16"/>
    <mergeCell ref="N1:AK4"/>
    <mergeCell ref="E17:Y17"/>
    <mergeCell ref="E18:Y18"/>
    <mergeCell ref="AE18:AJ18"/>
    <mergeCell ref="AH20:AI20"/>
    <mergeCell ref="BD1:BZ4"/>
    <mergeCell ref="AR6:BF7"/>
    <mergeCell ref="E7:X7"/>
    <mergeCell ref="AE7:AJ7"/>
    <mergeCell ref="F11:AJ11"/>
    <mergeCell ref="E14:Y14"/>
    <mergeCell ref="AE14:AJ14"/>
    <mergeCell ref="E15:Y15"/>
    <mergeCell ref="AE15:AJ15"/>
    <mergeCell ref="AB56:AC56"/>
    <mergeCell ref="AB58:AC58"/>
    <mergeCell ref="AB60:AC60"/>
    <mergeCell ref="AB62:AC62"/>
    <mergeCell ref="AB64:AC64"/>
    <mergeCell ref="R65:T65"/>
    <mergeCell ref="Y65:AA65"/>
    <mergeCell ref="AB38:AC38"/>
    <mergeCell ref="AB40:AC40"/>
    <mergeCell ref="AB42:AC42"/>
    <mergeCell ref="AB44:AC44"/>
    <mergeCell ref="AB46:AC46"/>
    <mergeCell ref="AB48:AC48"/>
    <mergeCell ref="AB50:AC50"/>
    <mergeCell ref="AB52:AC52"/>
    <mergeCell ref="AB54:AC54"/>
  </mergeCells>
  <conditionalFormatting sqref="B26">
    <cfRule type="expression" dxfId="173" priority="49">
      <formula>$AP$26=3</formula>
    </cfRule>
    <cfRule type="expression" dxfId="172" priority="51">
      <formula>$AN$26=2</formula>
    </cfRule>
    <cfRule type="expression" dxfId="171" priority="50">
      <formula>$AM$26=1</formula>
    </cfRule>
  </conditionalFormatting>
  <conditionalFormatting sqref="B28">
    <cfRule type="expression" dxfId="170" priority="53">
      <formula>$AM$28=1</formula>
    </cfRule>
    <cfRule type="expression" dxfId="169" priority="54">
      <formula>$AN$28=2</formula>
    </cfRule>
    <cfRule type="expression" dxfId="168" priority="52">
      <formula>$AP$28=3</formula>
    </cfRule>
  </conditionalFormatting>
  <conditionalFormatting sqref="B30">
    <cfRule type="expression" dxfId="167" priority="57">
      <formula>$AN$30=2</formula>
    </cfRule>
    <cfRule type="expression" dxfId="166" priority="56">
      <formula>$AM$30=1</formula>
    </cfRule>
    <cfRule type="expression" dxfId="165" priority="55">
      <formula>$AP$30=3</formula>
    </cfRule>
  </conditionalFormatting>
  <conditionalFormatting sqref="B33:D33 F33:H33">
    <cfRule type="expression" dxfId="164" priority="24">
      <formula>$AO$22=0</formula>
    </cfRule>
    <cfRule type="expression" dxfId="163" priority="25">
      <formula>$AO$22=3</formula>
    </cfRule>
  </conditionalFormatting>
  <conditionalFormatting sqref="B71:AJ76">
    <cfRule type="expression" dxfId="162" priority="45">
      <formula>$AM$71=2</formula>
    </cfRule>
    <cfRule type="cellIs" priority="44" stopIfTrue="1" operator="greaterThan">
      <formula>0</formula>
    </cfRule>
  </conditionalFormatting>
  <conditionalFormatting sqref="D68">
    <cfRule type="cellIs" dxfId="161" priority="33" operator="equal">
      <formula>0</formula>
    </cfRule>
  </conditionalFormatting>
  <conditionalFormatting sqref="E16">
    <cfRule type="expression" dxfId="160" priority="40">
      <formula>ISBLANK(E16)</formula>
    </cfRule>
  </conditionalFormatting>
  <conditionalFormatting sqref="E26">
    <cfRule type="expression" dxfId="159" priority="61">
      <formula>$AP$26=3</formula>
    </cfRule>
    <cfRule type="expression" dxfId="158" priority="60">
      <formula>$AM$26=1</formula>
    </cfRule>
  </conditionalFormatting>
  <conditionalFormatting sqref="E28">
    <cfRule type="expression" dxfId="157" priority="63">
      <formula>$AP$28=3</formula>
    </cfRule>
    <cfRule type="expression" dxfId="156" priority="62">
      <formula>$AM$28=1</formula>
    </cfRule>
  </conditionalFormatting>
  <conditionalFormatting sqref="E30">
    <cfRule type="expression" dxfId="155" priority="65">
      <formula>$AP$30=3</formula>
    </cfRule>
    <cfRule type="expression" dxfId="154" priority="64">
      <formula>$AM$30=1</formula>
    </cfRule>
  </conditionalFormatting>
  <conditionalFormatting sqref="E83:E84">
    <cfRule type="expression" dxfId="153" priority="39">
      <formula>ISBLANK(E83)</formula>
    </cfRule>
  </conditionalFormatting>
  <conditionalFormatting sqref="E86:E88">
    <cfRule type="expression" dxfId="152" priority="34">
      <formula>ISBLANK(E86)</formula>
    </cfRule>
  </conditionalFormatting>
  <conditionalFormatting sqref="E85:Y85">
    <cfRule type="expression" dxfId="151" priority="37">
      <formula>ISBLANK(E85)</formula>
    </cfRule>
  </conditionalFormatting>
  <conditionalFormatting sqref="F22">
    <cfRule type="expression" dxfId="150" priority="17">
      <formula>ISBLANK(F22)</formula>
    </cfRule>
  </conditionalFormatting>
  <conditionalFormatting sqref="F34 F36 F38 F40 F42 F44 F46 F48 F50 F52 F54 F56 F58 F60 F62">
    <cfRule type="expression" dxfId="149" priority="31">
      <formula>$AM34=2</formula>
    </cfRule>
    <cfRule type="cellIs" priority="30" stopIfTrue="1" operator="greaterThan">
      <formula>0</formula>
    </cfRule>
  </conditionalFormatting>
  <conditionalFormatting sqref="K34 R34 K36 R36 Y36 K38 R38 Y38 K40 R40 Y40 K42 R42 Y42 K44 R44 Y44 K46 R46 Y46 K48 R48 Y48 K50 R50 Y50 K52 R52 Y52 K54 R54 Y54 K56 R56 Y56 K58 R58 Y58 K60 R60 Y60 K62 R62 Y62">
    <cfRule type="expression" dxfId="148" priority="78">
      <formula>$AN34=2</formula>
    </cfRule>
    <cfRule type="cellIs" priority="77" stopIfTrue="1" operator="greaterThan">
      <formula>0</formula>
    </cfRule>
    <cfRule type="expression" dxfId="147" priority="75">
      <formula>$AQ$18=1</formula>
    </cfRule>
    <cfRule type="expression" dxfId="146" priority="76">
      <formula>$AQ$18=2</formula>
    </cfRule>
  </conditionalFormatting>
  <conditionalFormatting sqref="K32:M32">
    <cfRule type="expression" dxfId="145" priority="15">
      <formula>$AO$22=0</formula>
    </cfRule>
    <cfRule type="expression" dxfId="144" priority="16">
      <formula>$AO$22=3</formula>
    </cfRule>
  </conditionalFormatting>
  <conditionalFormatting sqref="K64:M64">
    <cfRule type="expression" dxfId="143" priority="81">
      <formula>$AN$18=1</formula>
    </cfRule>
    <cfRule type="expression" dxfId="142" priority="82">
      <formula>$AO$18=2</formula>
    </cfRule>
    <cfRule type="cellIs" priority="83" stopIfTrue="1" operator="greaterThan">
      <formula>0</formula>
    </cfRule>
    <cfRule type="cellIs" dxfId="141" priority="84" operator="equal">
      <formula>0</formula>
    </cfRule>
  </conditionalFormatting>
  <conditionalFormatting sqref="N34 U34 N36 U36 AB36 N38 U38 AB38 N40 U40 AB40 N42 U42 AB42 N44 U44 AB44 N46 U46 AB46 N48 U48 AB48 N50 U50 AB50 N52 U52 AB52 N54 U54 AB54 N56 U56 AB56 N58 U58 AB58 N60 U60 AB60 N62 U62 AB62 N64">
    <cfRule type="expression" dxfId="140" priority="79">
      <formula>$AM$18=0</formula>
    </cfRule>
    <cfRule type="expression" dxfId="139" priority="80">
      <formula>$AQ$18=3</formula>
    </cfRule>
  </conditionalFormatting>
  <conditionalFormatting sqref="O16">
    <cfRule type="expression" dxfId="138" priority="41">
      <formula>ISBLANK(O16)</formula>
    </cfRule>
  </conditionalFormatting>
  <conditionalFormatting sqref="O86">
    <cfRule type="expression" dxfId="137" priority="35">
      <formula>ISBLANK(O86)</formula>
    </cfRule>
  </conditionalFormatting>
  <conditionalFormatting sqref="R64">
    <cfRule type="cellIs" priority="26" stopIfTrue="1" operator="greaterThan">
      <formula>0</formula>
    </cfRule>
    <cfRule type="cellIs" dxfId="136" priority="27" operator="equal">
      <formula>0</formula>
    </cfRule>
  </conditionalFormatting>
  <conditionalFormatting sqref="R64:T64">
    <cfRule type="expression" dxfId="135" priority="19">
      <formula>$AQ$18=1</formula>
    </cfRule>
    <cfRule type="expression" dxfId="134" priority="18">
      <formula>$AQ$18=2</formula>
    </cfRule>
  </conditionalFormatting>
  <conditionalFormatting sqref="R65:T65">
    <cfRule type="cellIs" dxfId="133" priority="2" operator="equal">
      <formula>0</formula>
    </cfRule>
  </conditionalFormatting>
  <conditionalFormatting sqref="U64">
    <cfRule type="expression" dxfId="132" priority="23">
      <formula>$AQ$18=3</formula>
    </cfRule>
    <cfRule type="expression" dxfId="131" priority="22">
      <formula>$AM$18=0</formula>
    </cfRule>
  </conditionalFormatting>
  <conditionalFormatting sqref="V20 V22">
    <cfRule type="expression" dxfId="130" priority="69">
      <formula>$AM$20=0</formula>
    </cfRule>
    <cfRule type="expression" dxfId="129" priority="68">
      <formula>$AP$20=3</formula>
    </cfRule>
  </conditionalFormatting>
  <conditionalFormatting sqref="V24 Y24">
    <cfRule type="expression" dxfId="128" priority="85">
      <formula>$AP$18=3</formula>
    </cfRule>
    <cfRule type="expression" dxfId="127" priority="86">
      <formula>$AM$18=0</formula>
    </cfRule>
  </conditionalFormatting>
  <conditionalFormatting sqref="W16 F20">
    <cfRule type="expression" dxfId="126" priority="42">
      <formula>ISBLANK(F16)</formula>
    </cfRule>
  </conditionalFormatting>
  <conditionalFormatting sqref="W86">
    <cfRule type="expression" dxfId="125" priority="36">
      <formula>ISBLANK(W86)</formula>
    </cfRule>
  </conditionalFormatting>
  <conditionalFormatting sqref="Y34">
    <cfRule type="expression" dxfId="124" priority="10">
      <formula>$AQ$18=2</formula>
    </cfRule>
    <cfRule type="expression" dxfId="123" priority="12">
      <formula>$AN34=2</formula>
    </cfRule>
    <cfRule type="cellIs" priority="11" stopIfTrue="1" operator="greaterThan">
      <formula>0</formula>
    </cfRule>
    <cfRule type="expression" dxfId="122" priority="9">
      <formula>$AQ$18=1</formula>
    </cfRule>
  </conditionalFormatting>
  <conditionalFormatting sqref="Y64">
    <cfRule type="cellIs" dxfId="121" priority="8" operator="equal">
      <formula>0</formula>
    </cfRule>
    <cfRule type="cellIs" priority="7" stopIfTrue="1" operator="greaterThan">
      <formula>0</formula>
    </cfRule>
  </conditionalFormatting>
  <conditionalFormatting sqref="Y64:AA64">
    <cfRule type="expression" dxfId="120" priority="4">
      <formula>$AQ$18=1</formula>
    </cfRule>
    <cfRule type="expression" dxfId="119" priority="3">
      <formula>$AQ$18=2</formula>
    </cfRule>
  </conditionalFormatting>
  <conditionalFormatting sqref="Y65:AA65">
    <cfRule type="cellIs" dxfId="118" priority="1" operator="equal">
      <formula>0</formula>
    </cfRule>
  </conditionalFormatting>
  <conditionalFormatting sqref="AB34">
    <cfRule type="expression" dxfId="117" priority="14">
      <formula>$AQ$18=3</formula>
    </cfRule>
    <cfRule type="expression" dxfId="116" priority="13">
      <formula>$AM$18=0</formula>
    </cfRule>
  </conditionalFormatting>
  <conditionalFormatting sqref="AB64">
    <cfRule type="expression" dxfId="115" priority="6">
      <formula>$AQ$18=3</formula>
    </cfRule>
    <cfRule type="expression" dxfId="114" priority="5">
      <formula>$AM$18=0</formula>
    </cfRule>
  </conditionalFormatting>
  <conditionalFormatting sqref="AC90">
    <cfRule type="expression" dxfId="113" priority="38">
      <formula>ISBLANK(AC90)</formula>
    </cfRule>
  </conditionalFormatting>
  <conditionalFormatting sqref="AE34 AH34 AE36 AH36 AE38 AH38 AE40 AH40 AE42 AH42 AE44 AH44 AE46 AH46 AE48 AH48 AE50 AH50 AE52 AH52 AE54 AH54 AE56 AH56 AE58 AH58 AE60 AH60 AE62 AH62">
    <cfRule type="expression" dxfId="112" priority="72">
      <formula>$AQ34=3</formula>
    </cfRule>
    <cfRule type="expression" priority="73" stopIfTrue="1">
      <formula>$AP34=1</formula>
    </cfRule>
    <cfRule type="expression" dxfId="111" priority="74">
      <formula>$AN34=2</formula>
    </cfRule>
  </conditionalFormatting>
  <conditionalFormatting sqref="AE14:AJ14 E14:Y15 AE15 AE16:AJ16 E17:Y18 AE18:AJ18">
    <cfRule type="expression" dxfId="110" priority="43">
      <formula>ISBLANK(E14)</formula>
    </cfRule>
  </conditionalFormatting>
  <conditionalFormatting sqref="AE68:AJ68">
    <cfRule type="cellIs" dxfId="109" priority="32" operator="equal">
      <formula>0</formula>
    </cfRule>
  </conditionalFormatting>
  <conditionalFormatting sqref="AH20">
    <cfRule type="cellIs" priority="66" stopIfTrue="1" operator="greaterThan">
      <formula>0</formula>
    </cfRule>
    <cfRule type="expression" dxfId="108" priority="67">
      <formula>$AN$20=1</formula>
    </cfRule>
  </conditionalFormatting>
  <conditionalFormatting sqref="AH22">
    <cfRule type="cellIs" priority="70" stopIfTrue="1" operator="greaterThan">
      <formula>0</formula>
    </cfRule>
    <cfRule type="expression" dxfId="107" priority="71">
      <formula>$AO$20=1</formula>
    </cfRule>
  </conditionalFormatting>
  <printOptions horizontalCentered="1"/>
  <pageMargins left="0.25" right="0.25" top="0.25" bottom="0.25" header="0.3" footer="0.3"/>
  <pageSetup orientation="portrait" horizontalDpi="1200" verticalDpi="1200" r:id="rId1"/>
  <rowBreaks count="1" manualBreakCount="1">
    <brk id="67"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40FC-239C-4B7E-928C-842CA3520C8D}">
  <sheetPr codeName="Sheet6">
    <tabColor theme="8" tint="0.39997558519241921"/>
  </sheetPr>
  <dimension ref="A1:CD238"/>
  <sheetViews>
    <sheetView showGridLines="0" showRowColHeaders="0" showZeros="0" zoomScale="150" zoomScaleNormal="150" workbookViewId="0">
      <selection activeCell="AF15" sqref="AF15:AK15"/>
    </sheetView>
  </sheetViews>
  <sheetFormatPr defaultColWidth="0" defaultRowHeight="0" customHeight="1" zeroHeight="1" x14ac:dyDescent="0.3"/>
  <cols>
    <col min="1" max="11" width="2.6640625" style="34" customWidth="1"/>
    <col min="12" max="12" width="3.77734375" style="34" customWidth="1"/>
    <col min="13" max="13" width="1.77734375" style="34" customWidth="1"/>
    <col min="14" max="29" width="2.6640625" style="34" customWidth="1"/>
    <col min="30" max="30" width="3.77734375" style="34" customWidth="1"/>
    <col min="31" max="38" width="2.6640625" style="34" customWidth="1"/>
    <col min="39" max="39" width="10.33203125" style="18" hidden="1" customWidth="1"/>
    <col min="40" max="40" width="9.21875" style="16" hidden="1" customWidth="1"/>
    <col min="41" max="41" width="11" style="18" hidden="1" customWidth="1"/>
    <col min="42" max="44" width="7.21875" style="18" hidden="1" customWidth="1"/>
    <col min="45" max="45" width="10.77734375" style="18" hidden="1" customWidth="1"/>
    <col min="46" max="46" width="3.77734375" style="34" customWidth="1"/>
    <col min="47" max="47" width="3.77734375" style="19" customWidth="1"/>
    <col min="48" max="81" width="2.77734375" style="34" customWidth="1"/>
    <col min="82" max="82" width="2.77734375" style="34" hidden="1" customWidth="1"/>
    <col min="83" max="16384" width="8.88671875" style="34" hidden="1"/>
  </cols>
  <sheetData>
    <row r="1" spans="1:80" ht="15" customHeight="1" x14ac:dyDescent="0.3">
      <c r="N1" s="3"/>
      <c r="O1" s="3"/>
      <c r="P1" s="3"/>
      <c r="Q1" s="3"/>
      <c r="R1" s="20"/>
      <c r="S1" s="20"/>
      <c r="T1" s="20"/>
      <c r="U1" s="172" t="s">
        <v>218</v>
      </c>
      <c r="V1" s="172"/>
      <c r="W1" s="172"/>
      <c r="X1" s="172"/>
      <c r="Y1" s="172"/>
      <c r="Z1" s="172"/>
      <c r="AA1" s="172"/>
      <c r="AB1" s="172"/>
      <c r="AC1" s="172"/>
      <c r="AD1" s="172"/>
      <c r="AE1" s="172"/>
      <c r="AF1" s="172"/>
      <c r="AG1" s="172"/>
      <c r="AH1" s="172"/>
      <c r="AI1" s="172"/>
      <c r="AJ1" s="172"/>
      <c r="AK1" s="172"/>
      <c r="AL1" s="172"/>
      <c r="BB1" s="20"/>
      <c r="BC1" s="20"/>
      <c r="BD1" s="20"/>
      <c r="BE1" s="20"/>
      <c r="BF1" s="20"/>
      <c r="BG1" s="20"/>
      <c r="BH1" s="20"/>
      <c r="BI1" s="20"/>
      <c r="BJ1" s="20"/>
      <c r="BN1" s="172" t="str">
        <f>U1</f>
        <v>Form 3B - Retention Pond
As-Built Certification Form</v>
      </c>
      <c r="BO1" s="172"/>
      <c r="BP1" s="172"/>
      <c r="BQ1" s="172"/>
      <c r="BR1" s="172"/>
      <c r="BS1" s="172"/>
      <c r="BT1" s="172"/>
      <c r="BU1" s="172"/>
      <c r="BV1" s="172"/>
      <c r="BW1" s="172"/>
      <c r="BX1" s="172"/>
      <c r="BY1" s="172"/>
      <c r="BZ1" s="172"/>
      <c r="CA1" s="172"/>
      <c r="CB1" s="172"/>
    </row>
    <row r="2" spans="1:80" ht="15" customHeight="1" x14ac:dyDescent="0.3">
      <c r="J2" s="3"/>
      <c r="K2" s="3"/>
      <c r="L2" s="3"/>
      <c r="M2" s="3"/>
      <c r="N2" s="3"/>
      <c r="O2" s="3"/>
      <c r="P2" s="3"/>
      <c r="Q2" s="3"/>
      <c r="R2" s="20"/>
      <c r="S2" s="20"/>
      <c r="T2" s="20"/>
      <c r="U2" s="172"/>
      <c r="V2" s="172"/>
      <c r="W2" s="172"/>
      <c r="X2" s="172"/>
      <c r="Y2" s="172"/>
      <c r="Z2" s="172"/>
      <c r="AA2" s="172"/>
      <c r="AB2" s="172"/>
      <c r="AC2" s="172"/>
      <c r="AD2" s="172"/>
      <c r="AE2" s="172"/>
      <c r="AF2" s="172"/>
      <c r="AG2" s="172"/>
      <c r="AH2" s="172"/>
      <c r="AI2" s="172"/>
      <c r="AJ2" s="172"/>
      <c r="AK2" s="172"/>
      <c r="AL2" s="172"/>
      <c r="BA2" s="20"/>
      <c r="BB2" s="20"/>
      <c r="BC2" s="20"/>
      <c r="BD2" s="20"/>
      <c r="BE2" s="20"/>
      <c r="BF2" s="20"/>
      <c r="BG2" s="20"/>
      <c r="BH2" s="20"/>
      <c r="BI2" s="20"/>
      <c r="BJ2" s="20"/>
      <c r="BN2" s="172"/>
      <c r="BO2" s="172"/>
      <c r="BP2" s="172"/>
      <c r="BQ2" s="172"/>
      <c r="BR2" s="172"/>
      <c r="BS2" s="172"/>
      <c r="BT2" s="172"/>
      <c r="BU2" s="172"/>
      <c r="BV2" s="172"/>
      <c r="BW2" s="172"/>
      <c r="BX2" s="172"/>
      <c r="BY2" s="172"/>
      <c r="BZ2" s="172"/>
      <c r="CA2" s="172"/>
      <c r="CB2" s="172"/>
    </row>
    <row r="3" spans="1:80" ht="15" customHeight="1" x14ac:dyDescent="0.3">
      <c r="J3" s="3"/>
      <c r="K3" s="3"/>
      <c r="L3" s="3"/>
      <c r="M3" s="3"/>
      <c r="N3" s="3"/>
      <c r="O3" s="3"/>
      <c r="P3" s="3"/>
      <c r="Q3" s="3"/>
      <c r="R3" s="20"/>
      <c r="S3" s="20"/>
      <c r="T3" s="20"/>
      <c r="U3" s="172"/>
      <c r="V3" s="172"/>
      <c r="W3" s="172"/>
      <c r="X3" s="172"/>
      <c r="Y3" s="172"/>
      <c r="Z3" s="172"/>
      <c r="AA3" s="172"/>
      <c r="AB3" s="172"/>
      <c r="AC3" s="172"/>
      <c r="AD3" s="172"/>
      <c r="AE3" s="172"/>
      <c r="AF3" s="172"/>
      <c r="AG3" s="172"/>
      <c r="AH3" s="172"/>
      <c r="AI3" s="172"/>
      <c r="AJ3" s="172"/>
      <c r="AK3" s="172"/>
      <c r="AL3" s="172"/>
      <c r="BA3" s="20"/>
      <c r="BB3" s="20"/>
      <c r="BC3" s="20"/>
      <c r="BD3" s="20"/>
      <c r="BE3" s="20"/>
      <c r="BF3" s="20"/>
      <c r="BG3" s="20"/>
      <c r="BH3" s="20"/>
      <c r="BI3" s="20"/>
      <c r="BJ3" s="20"/>
      <c r="BN3" s="172"/>
      <c r="BO3" s="172"/>
      <c r="BP3" s="172"/>
      <c r="BQ3" s="172"/>
      <c r="BR3" s="172"/>
      <c r="BS3" s="172"/>
      <c r="BT3" s="172"/>
      <c r="BU3" s="172"/>
      <c r="BV3" s="172"/>
      <c r="BW3" s="172"/>
      <c r="BX3" s="172"/>
      <c r="BY3" s="172"/>
      <c r="BZ3" s="172"/>
      <c r="CA3" s="172"/>
      <c r="CB3" s="172"/>
    </row>
    <row r="4" spans="1:80" ht="15" customHeight="1" x14ac:dyDescent="0.3">
      <c r="J4" s="3"/>
      <c r="K4" s="3"/>
      <c r="L4" s="3"/>
      <c r="M4" s="3"/>
      <c r="N4" s="3"/>
      <c r="O4" s="3"/>
      <c r="P4" s="3"/>
      <c r="Q4" s="3"/>
      <c r="R4" s="20"/>
      <c r="S4" s="20"/>
      <c r="T4" s="20"/>
      <c r="U4" s="172"/>
      <c r="V4" s="172"/>
      <c r="W4" s="172"/>
      <c r="X4" s="172"/>
      <c r="Y4" s="172"/>
      <c r="Z4" s="172"/>
      <c r="AA4" s="172"/>
      <c r="AB4" s="172"/>
      <c r="AC4" s="172"/>
      <c r="AD4" s="172"/>
      <c r="AE4" s="172"/>
      <c r="AF4" s="172"/>
      <c r="AG4" s="172"/>
      <c r="AH4" s="172"/>
      <c r="AI4" s="172"/>
      <c r="AJ4" s="172"/>
      <c r="AK4" s="172"/>
      <c r="AL4" s="172"/>
      <c r="BA4" s="20"/>
      <c r="BB4" s="20"/>
      <c r="BC4" s="20"/>
      <c r="BD4" s="20"/>
      <c r="BE4" s="20"/>
      <c r="BF4" s="20"/>
      <c r="BG4" s="20"/>
      <c r="BH4" s="20"/>
      <c r="BI4" s="20"/>
      <c r="BJ4" s="20"/>
      <c r="BN4" s="172"/>
      <c r="BO4" s="172"/>
      <c r="BP4" s="172"/>
      <c r="BQ4" s="172"/>
      <c r="BR4" s="172"/>
      <c r="BS4" s="172"/>
      <c r="BT4" s="172"/>
      <c r="BU4" s="172"/>
      <c r="BV4" s="172"/>
      <c r="BW4" s="172"/>
      <c r="BX4" s="172"/>
      <c r="BY4" s="172"/>
      <c r="BZ4" s="172"/>
      <c r="CA4" s="172"/>
      <c r="CB4" s="172"/>
    </row>
    <row r="5" spans="1:80" ht="4.95" customHeight="1" x14ac:dyDescent="0.3">
      <c r="J5" s="3"/>
      <c r="K5" s="3"/>
      <c r="L5" s="3"/>
      <c r="M5" s="3"/>
      <c r="N5" s="3"/>
      <c r="O5" s="3"/>
      <c r="P5" s="3"/>
      <c r="Q5" s="3"/>
      <c r="R5" s="21"/>
      <c r="S5" s="21"/>
      <c r="T5" s="21"/>
      <c r="U5" s="21"/>
      <c r="V5" s="21"/>
      <c r="W5" s="21"/>
      <c r="X5" s="21"/>
      <c r="Y5" s="21"/>
      <c r="Z5" s="21"/>
      <c r="AA5" s="21"/>
      <c r="AB5" s="21"/>
      <c r="AC5" s="21"/>
      <c r="AD5" s="21"/>
      <c r="AE5" s="21"/>
      <c r="AF5" s="21"/>
      <c r="AG5" s="21"/>
      <c r="AH5" s="21"/>
      <c r="AI5" s="21"/>
      <c r="AJ5" s="21"/>
      <c r="AK5" s="21"/>
    </row>
    <row r="6" spans="1:80" ht="15" customHeight="1" x14ac:dyDescent="0.3">
      <c r="A6" s="22"/>
      <c r="B6" s="23" t="s">
        <v>121</v>
      </c>
      <c r="C6" s="23"/>
      <c r="D6" s="23"/>
      <c r="E6" s="23"/>
      <c r="F6" s="23"/>
      <c r="G6" s="23"/>
      <c r="H6" s="23"/>
      <c r="I6" s="23"/>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5"/>
      <c r="AU6" s="171" t="s">
        <v>72</v>
      </c>
      <c r="AV6" s="171"/>
      <c r="AW6" s="171"/>
      <c r="AX6" s="171"/>
      <c r="AY6" s="171"/>
      <c r="AZ6" s="171"/>
      <c r="BA6" s="171"/>
      <c r="BB6" s="171"/>
      <c r="BC6" s="171"/>
      <c r="BD6" s="171"/>
      <c r="BE6" s="171"/>
      <c r="BF6" s="171"/>
      <c r="BG6" s="171"/>
      <c r="BH6" s="171"/>
    </row>
    <row r="7" spans="1:80" ht="15" customHeight="1" x14ac:dyDescent="0.3">
      <c r="A7" s="26"/>
      <c r="B7" s="13" t="s">
        <v>62</v>
      </c>
      <c r="C7" s="13"/>
      <c r="D7" s="13"/>
      <c r="E7" s="62"/>
      <c r="F7" s="62"/>
      <c r="G7" s="62"/>
      <c r="H7" s="238"/>
      <c r="I7" s="238"/>
      <c r="J7" s="238"/>
      <c r="K7" s="238"/>
      <c r="L7" s="238"/>
      <c r="M7" s="238"/>
      <c r="N7" s="238"/>
      <c r="O7" s="238"/>
      <c r="P7" s="238"/>
      <c r="Q7" s="238"/>
      <c r="R7" s="238"/>
      <c r="S7" s="238"/>
      <c r="T7" s="238"/>
      <c r="U7" s="238"/>
      <c r="V7" s="238"/>
      <c r="W7" s="238"/>
      <c r="X7" s="62"/>
      <c r="Y7" s="62"/>
      <c r="Z7" s="62"/>
      <c r="AA7" s="13"/>
      <c r="AB7" s="13"/>
      <c r="AC7" s="13"/>
      <c r="AD7" s="13"/>
      <c r="AE7" s="27" t="s">
        <v>21</v>
      </c>
      <c r="AF7" s="62"/>
      <c r="AG7" s="62"/>
      <c r="AH7" s="62"/>
      <c r="AI7" s="62"/>
      <c r="AJ7" s="62"/>
      <c r="AK7" s="62"/>
      <c r="AL7" s="28"/>
      <c r="AU7" s="171"/>
      <c r="AV7" s="171"/>
      <c r="AW7" s="171"/>
      <c r="AX7" s="171"/>
      <c r="AY7" s="171"/>
      <c r="AZ7" s="171"/>
      <c r="BA7" s="171"/>
      <c r="BB7" s="171"/>
      <c r="BC7" s="171"/>
      <c r="BD7" s="171"/>
      <c r="BE7" s="171"/>
      <c r="BF7" s="171"/>
      <c r="BG7" s="171"/>
      <c r="BH7" s="171"/>
    </row>
    <row r="8" spans="1:80" ht="4.95" customHeight="1" x14ac:dyDescent="0.3">
      <c r="A8" s="26"/>
      <c r="B8" s="13"/>
      <c r="C8" s="13"/>
      <c r="D8" s="13"/>
      <c r="E8" s="13"/>
      <c r="F8" s="13"/>
      <c r="G8" s="13"/>
      <c r="H8" s="13"/>
      <c r="I8" s="62"/>
      <c r="J8" s="13"/>
      <c r="K8" s="13"/>
      <c r="L8" s="13"/>
      <c r="M8" s="13"/>
      <c r="N8" s="13"/>
      <c r="O8" s="13"/>
      <c r="P8" s="13"/>
      <c r="Q8" s="13"/>
      <c r="R8" s="13"/>
      <c r="S8" s="13"/>
      <c r="T8" s="13"/>
      <c r="U8" s="13"/>
      <c r="V8" s="13"/>
      <c r="W8" s="13"/>
      <c r="X8" s="13"/>
      <c r="Y8" s="13"/>
      <c r="Z8" s="13"/>
      <c r="AA8" s="27"/>
      <c r="AB8" s="27"/>
      <c r="AC8" s="27"/>
      <c r="AD8" s="13"/>
      <c r="AE8" s="13"/>
      <c r="AF8" s="13"/>
      <c r="AG8" s="13"/>
      <c r="AH8" s="13"/>
      <c r="AI8" s="13"/>
      <c r="AJ8" s="13"/>
      <c r="AK8" s="13"/>
      <c r="AL8" s="28"/>
    </row>
    <row r="9" spans="1:80" ht="15" customHeight="1" x14ac:dyDescent="0.3">
      <c r="A9" s="26"/>
      <c r="B9" s="13" t="s">
        <v>22</v>
      </c>
      <c r="C9" s="13"/>
      <c r="D9" s="13"/>
      <c r="E9" s="13"/>
      <c r="F9" s="13"/>
      <c r="G9" s="13"/>
      <c r="H9" s="13"/>
      <c r="I9" s="29"/>
      <c r="J9" s="13" t="s">
        <v>130</v>
      </c>
      <c r="K9" s="13"/>
      <c r="L9" s="13"/>
      <c r="M9" s="13"/>
      <c r="N9" s="13"/>
      <c r="O9" s="13"/>
      <c r="P9" s="29"/>
      <c r="Q9" s="13" t="s">
        <v>131</v>
      </c>
      <c r="R9" s="13"/>
      <c r="S9" s="13"/>
      <c r="T9" s="13"/>
      <c r="U9" s="13"/>
      <c r="V9" s="13"/>
      <c r="W9" s="13"/>
      <c r="X9" s="13"/>
      <c r="Y9" s="13"/>
      <c r="Z9" s="13"/>
      <c r="AA9" s="29"/>
      <c r="AB9" s="13" t="s">
        <v>132</v>
      </c>
      <c r="AC9" s="13"/>
      <c r="AD9" s="13"/>
      <c r="AE9" s="13"/>
      <c r="AF9" s="13"/>
      <c r="AG9" s="29"/>
      <c r="AH9" s="13" t="s">
        <v>133</v>
      </c>
      <c r="AI9" s="13"/>
      <c r="AJ9" s="13"/>
      <c r="AK9" s="13"/>
      <c r="AL9" s="28"/>
      <c r="AU9" s="19">
        <v>1</v>
      </c>
      <c r="AV9" s="89" t="s">
        <v>96</v>
      </c>
    </row>
    <row r="10" spans="1:80" ht="4.95" customHeight="1" x14ac:dyDescent="0.3">
      <c r="A10" s="26"/>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8"/>
      <c r="AV10" s="4"/>
      <c r="AW10" s="89"/>
    </row>
    <row r="11" spans="1:80" ht="15" customHeight="1" x14ac:dyDescent="0.3">
      <c r="A11" s="26"/>
      <c r="B11" s="15" t="s">
        <v>23</v>
      </c>
      <c r="C11" s="27"/>
      <c r="D11" s="27"/>
      <c r="E11" s="15"/>
      <c r="F11" s="69"/>
      <c r="G11" s="69"/>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64"/>
      <c r="AK11" s="64"/>
      <c r="AL11" s="28"/>
      <c r="AV11" s="4" t="s">
        <v>98</v>
      </c>
      <c r="AW11" s="89" t="s">
        <v>217</v>
      </c>
    </row>
    <row r="12" spans="1:80" ht="4.95" customHeight="1" x14ac:dyDescent="0.3">
      <c r="A12" s="3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33"/>
    </row>
    <row r="13" spans="1:80" ht="4.95" customHeight="1" x14ac:dyDescent="0.3"/>
    <row r="14" spans="1:80" ht="15" customHeight="1" x14ac:dyDescent="0.3">
      <c r="A14" s="1" t="s">
        <v>0</v>
      </c>
      <c r="C14" s="1"/>
      <c r="D14" s="1"/>
      <c r="E14" s="1"/>
      <c r="F14" s="1"/>
      <c r="G14" s="1"/>
      <c r="H14" s="1"/>
      <c r="I14" s="1"/>
      <c r="AE14" s="2" t="str">
        <f>IF(Tables!C25=0,"",Tables!C25&amp;": ")</f>
        <v xml:space="preserve">ENG No.: </v>
      </c>
      <c r="AF14" s="176"/>
      <c r="AG14" s="176"/>
      <c r="AH14" s="176"/>
      <c r="AI14" s="176"/>
      <c r="AJ14" s="176"/>
      <c r="AK14" s="176"/>
      <c r="AM14" s="116">
        <f>LEN(AE14)</f>
        <v>9</v>
      </c>
      <c r="AV14" s="4" t="s">
        <v>99</v>
      </c>
      <c r="AW14" s="89" t="s">
        <v>97</v>
      </c>
    </row>
    <row r="15" spans="1:80" ht="14.55" customHeight="1" x14ac:dyDescent="0.3">
      <c r="C15" s="2"/>
      <c r="D15" s="2" t="s">
        <v>1</v>
      </c>
      <c r="E15" s="173">
        <f>'Form 2B.1 - Design'!$E$13</f>
        <v>0</v>
      </c>
      <c r="F15" s="173"/>
      <c r="G15" s="173"/>
      <c r="H15" s="173"/>
      <c r="I15" s="173"/>
      <c r="J15" s="173"/>
      <c r="K15" s="173"/>
      <c r="L15" s="173"/>
      <c r="M15" s="173"/>
      <c r="N15" s="173"/>
      <c r="O15" s="173"/>
      <c r="P15" s="173"/>
      <c r="Q15" s="173"/>
      <c r="R15" s="173"/>
      <c r="S15" s="173"/>
      <c r="T15" s="173"/>
      <c r="U15" s="173"/>
      <c r="V15" s="173"/>
      <c r="W15" s="173"/>
      <c r="X15" s="173"/>
      <c r="Y15" s="173"/>
      <c r="Z15" s="173"/>
      <c r="AE15" s="2" t="s">
        <v>21</v>
      </c>
      <c r="AF15" s="221"/>
      <c r="AG15" s="221"/>
      <c r="AH15" s="221"/>
      <c r="AI15" s="221"/>
      <c r="AJ15" s="221"/>
      <c r="AK15" s="221"/>
      <c r="AU15" s="19">
        <f>AU9+1</f>
        <v>2</v>
      </c>
      <c r="AV15" s="89" t="s">
        <v>100</v>
      </c>
    </row>
    <row r="16" spans="1:80" ht="14.55" customHeight="1" x14ac:dyDescent="0.3">
      <c r="C16" s="2"/>
      <c r="D16" s="2" t="s">
        <v>20</v>
      </c>
      <c r="E16" s="226">
        <f>'Form 2B.1 - Design'!$E$14</f>
        <v>0</v>
      </c>
      <c r="F16" s="226"/>
      <c r="G16" s="226"/>
      <c r="H16" s="226"/>
      <c r="I16" s="226"/>
      <c r="J16" s="226"/>
      <c r="K16" s="226"/>
      <c r="L16" s="226"/>
      <c r="M16" s="226"/>
      <c r="N16" s="226"/>
      <c r="O16" s="226"/>
      <c r="P16" s="226"/>
      <c r="Q16" s="226"/>
      <c r="R16" s="226"/>
      <c r="S16" s="226"/>
      <c r="T16" s="226"/>
      <c r="U16" s="226"/>
      <c r="V16" s="226"/>
      <c r="W16" s="226"/>
      <c r="X16" s="226"/>
      <c r="Y16" s="226"/>
      <c r="Z16" s="226"/>
      <c r="AE16" s="2" t="s">
        <v>35</v>
      </c>
      <c r="AF16" s="187">
        <f>'Form 2B.1 - Design'!AE14</f>
        <v>0</v>
      </c>
      <c r="AG16" s="187"/>
      <c r="AH16" s="187"/>
      <c r="AI16" s="187"/>
      <c r="AJ16" s="187"/>
      <c r="AK16" s="187"/>
      <c r="AV16" s="4" t="s">
        <v>98</v>
      </c>
      <c r="AW16" s="89" t="s">
        <v>216</v>
      </c>
    </row>
    <row r="17" spans="1:58" ht="4.95" customHeight="1" x14ac:dyDescent="0.3">
      <c r="H17" s="2"/>
      <c r="I17" s="2"/>
    </row>
    <row r="18" spans="1:58" ht="14.55" customHeight="1" x14ac:dyDescent="0.3">
      <c r="B18" s="34" t="s">
        <v>126</v>
      </c>
      <c r="G18" s="17"/>
      <c r="H18" s="34" t="s">
        <v>123</v>
      </c>
      <c r="N18" s="17"/>
      <c r="O18" s="34" t="s">
        <v>124</v>
      </c>
      <c r="W18" s="4"/>
      <c r="X18" s="4"/>
      <c r="Y18" s="4"/>
      <c r="Z18" s="17"/>
      <c r="AA18" s="34" t="str">
        <f>Tables!C24</f>
        <v xml:space="preserve"> O&amp;M Agreement</v>
      </c>
      <c r="AH18" s="17"/>
      <c r="AI18" s="34" t="s">
        <v>127</v>
      </c>
      <c r="AV18" s="4" t="s">
        <v>99</v>
      </c>
      <c r="AW18" s="89" t="s">
        <v>107</v>
      </c>
    </row>
    <row r="19" spans="1:58" ht="4.95" customHeight="1" x14ac:dyDescent="0.3">
      <c r="AW19" s="131"/>
      <c r="AX19" s="89"/>
    </row>
    <row r="20" spans="1:58" ht="15" customHeight="1" x14ac:dyDescent="0.3">
      <c r="A20" s="222" t="s">
        <v>169</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W20" s="131" t="s">
        <v>114</v>
      </c>
      <c r="AX20" s="89" t="s">
        <v>278</v>
      </c>
    </row>
    <row r="21" spans="1:58" ht="15" customHeight="1" x14ac:dyDescent="0.3">
      <c r="B21" s="1" t="s">
        <v>57</v>
      </c>
      <c r="C21" s="1"/>
      <c r="D21" s="1"/>
      <c r="E21" s="1"/>
      <c r="F21" s="1"/>
      <c r="G21" s="1"/>
      <c r="I21" s="1"/>
      <c r="J21" s="1"/>
      <c r="K21" s="1"/>
      <c r="L21" s="1"/>
      <c r="M21" s="1"/>
      <c r="N21" s="1"/>
      <c r="O21" s="1"/>
      <c r="P21" s="1"/>
      <c r="Q21" s="1"/>
      <c r="R21" s="1"/>
      <c r="S21" s="1"/>
      <c r="T21" s="70"/>
      <c r="U21" s="36"/>
      <c r="V21" s="1" t="s">
        <v>58</v>
      </c>
      <c r="W21" s="1"/>
      <c r="X21" s="1"/>
      <c r="Y21" s="1"/>
      <c r="Z21" s="1"/>
      <c r="AA21" s="1"/>
      <c r="AB21" s="1"/>
      <c r="AC21" s="1"/>
      <c r="AE21" s="1"/>
      <c r="AF21" s="1"/>
      <c r="AG21" s="1"/>
      <c r="AH21" s="1"/>
      <c r="AJ21" s="65"/>
      <c r="AK21" s="65"/>
      <c r="AW21" s="131" t="s">
        <v>114</v>
      </c>
      <c r="AX21" s="89" t="s">
        <v>139</v>
      </c>
    </row>
    <row r="22" spans="1:58" ht="14.55" customHeight="1" x14ac:dyDescent="0.3">
      <c r="F22" s="2" t="s">
        <v>171</v>
      </c>
      <c r="G22" s="241">
        <f>'Form 2B.1 - Design'!H59</f>
        <v>0</v>
      </c>
      <c r="H22" s="241"/>
      <c r="I22" s="241"/>
      <c r="J22" s="34" t="s">
        <v>44</v>
      </c>
      <c r="T22" s="40"/>
      <c r="Z22" s="2" t="s">
        <v>171</v>
      </c>
      <c r="AA22" s="164"/>
      <c r="AB22" s="164"/>
      <c r="AC22" s="164"/>
      <c r="AD22" s="34" t="s">
        <v>44</v>
      </c>
      <c r="AM22" s="18" t="s">
        <v>370</v>
      </c>
      <c r="AN22" s="118">
        <f>'Form 2B.1 - Design'!AM60</f>
        <v>0</v>
      </c>
      <c r="AW22" s="131" t="s">
        <v>114</v>
      </c>
      <c r="AX22" s="34" t="s">
        <v>206</v>
      </c>
    </row>
    <row r="23" spans="1:58" ht="14.55" customHeight="1" x14ac:dyDescent="0.3">
      <c r="F23" s="2" t="s">
        <v>215</v>
      </c>
      <c r="G23" s="237">
        <f>'Form 2B.1 - Design'!H60</f>
        <v>0</v>
      </c>
      <c r="H23" s="237"/>
      <c r="I23" s="237"/>
      <c r="J23" s="34" t="s">
        <v>44</v>
      </c>
      <c r="T23" s="40"/>
      <c r="Z23" s="2" t="s">
        <v>215</v>
      </c>
      <c r="AA23" s="170"/>
      <c r="AB23" s="170"/>
      <c r="AC23" s="170"/>
      <c r="AD23" s="34" t="s">
        <v>44</v>
      </c>
      <c r="AW23" s="131" t="s">
        <v>114</v>
      </c>
      <c r="AX23" s="34" t="str">
        <f>Tables!C24</f>
        <v xml:space="preserve"> O&amp;M Agreement</v>
      </c>
    </row>
    <row r="24" spans="1:58" ht="14.55" customHeight="1" x14ac:dyDescent="0.3">
      <c r="F24" s="2" t="s">
        <v>170</v>
      </c>
      <c r="G24" s="237">
        <f>'Form 2B.1 - Design'!H61</f>
        <v>0</v>
      </c>
      <c r="H24" s="237"/>
      <c r="I24" s="237"/>
      <c r="J24" s="34" t="s">
        <v>44</v>
      </c>
      <c r="T24" s="40"/>
      <c r="Z24" s="2" t="s">
        <v>170</v>
      </c>
      <c r="AA24" s="170"/>
      <c r="AB24" s="170"/>
      <c r="AC24" s="170"/>
      <c r="AD24" s="34" t="s">
        <v>44</v>
      </c>
      <c r="AU24" s="19">
        <f>AU15+1</f>
        <v>3</v>
      </c>
      <c r="AV24" s="89" t="s">
        <v>108</v>
      </c>
      <c r="AW24" s="131"/>
      <c r="AX24" s="89"/>
      <c r="AZ24" s="89"/>
      <c r="BA24" s="89"/>
      <c r="BB24" s="89"/>
      <c r="BC24" s="89"/>
      <c r="BD24" s="89"/>
      <c r="BE24" s="89"/>
      <c r="BF24" s="89"/>
    </row>
    <row r="25" spans="1:58" ht="14.55" customHeight="1" x14ac:dyDescent="0.3">
      <c r="F25" s="2" t="s">
        <v>187</v>
      </c>
      <c r="G25" s="220">
        <f>'Form 2B.1 - Design'!U59</f>
        <v>0</v>
      </c>
      <c r="H25" s="220"/>
      <c r="I25" s="220"/>
      <c r="J25" s="34" t="s">
        <v>44</v>
      </c>
      <c r="N25" s="2"/>
      <c r="T25" s="40"/>
      <c r="Z25" s="2" t="s">
        <v>187</v>
      </c>
      <c r="AA25" s="170"/>
      <c r="AB25" s="170"/>
      <c r="AC25" s="170"/>
      <c r="AD25" s="34" t="s">
        <v>44</v>
      </c>
      <c r="AH25" s="2"/>
      <c r="AV25" s="4" t="s">
        <v>98</v>
      </c>
      <c r="AW25" s="89" t="s">
        <v>291</v>
      </c>
      <c r="AX25" s="89"/>
      <c r="AY25" s="89"/>
      <c r="AZ25" s="89"/>
      <c r="BA25" s="89"/>
      <c r="BB25" s="89"/>
      <c r="BC25" s="89"/>
      <c r="BD25" s="89"/>
      <c r="BE25" s="89"/>
      <c r="BF25" s="89"/>
    </row>
    <row r="26" spans="1:58" ht="14.55" customHeight="1" x14ac:dyDescent="0.3">
      <c r="F26" s="2" t="s">
        <v>188</v>
      </c>
      <c r="G26" s="229">
        <f>'Form 2B.1 - Design'!U60</f>
        <v>0</v>
      </c>
      <c r="H26" s="229"/>
      <c r="I26" s="229"/>
      <c r="J26" s="229"/>
      <c r="K26" s="167" t="str">
        <f>'Form 2B.1 - Design'!Y60</f>
        <v>Units?</v>
      </c>
      <c r="L26" s="167"/>
      <c r="N26" s="2"/>
      <c r="T26" s="40"/>
      <c r="Z26" s="2" t="s">
        <v>188</v>
      </c>
      <c r="AA26" s="240"/>
      <c r="AB26" s="240"/>
      <c r="AC26" s="240"/>
      <c r="AD26" s="236"/>
      <c r="AE26" s="167" t="str">
        <f>K26</f>
        <v>Units?</v>
      </c>
      <c r="AF26" s="167"/>
      <c r="AH26" s="2"/>
      <c r="AW26" s="89" t="s">
        <v>292</v>
      </c>
      <c r="AX26" s="89"/>
      <c r="AY26" s="89"/>
    </row>
    <row r="27" spans="1:58" ht="14.55" customHeight="1" x14ac:dyDescent="0.3">
      <c r="F27" s="2" t="s">
        <v>175</v>
      </c>
      <c r="G27" s="219">
        <f>'Form 2B.1 - Design'!U61</f>
        <v>0</v>
      </c>
      <c r="H27" s="219"/>
      <c r="I27" s="219"/>
      <c r="J27" s="219"/>
      <c r="K27" s="167" t="str">
        <f>'Form 2B.1 - Design'!Y61</f>
        <v>Units?</v>
      </c>
      <c r="L27" s="167"/>
      <c r="N27" s="2"/>
      <c r="T27" s="40"/>
      <c r="Z27" s="2" t="s">
        <v>175</v>
      </c>
      <c r="AA27" s="240"/>
      <c r="AB27" s="240"/>
      <c r="AC27" s="240"/>
      <c r="AD27" s="240"/>
      <c r="AE27" s="167" t="str">
        <f>K27</f>
        <v>Units?</v>
      </c>
      <c r="AF27" s="167"/>
      <c r="AH27" s="2"/>
      <c r="AV27" s="4" t="s">
        <v>99</v>
      </c>
      <c r="AW27" s="89" t="s">
        <v>102</v>
      </c>
      <c r="AX27" s="89"/>
    </row>
    <row r="28" spans="1:58" ht="4.95" customHeight="1" x14ac:dyDescent="0.3">
      <c r="E28" s="2"/>
      <c r="N28" s="2"/>
      <c r="T28" s="40"/>
      <c r="Y28" s="2"/>
      <c r="AH28" s="2"/>
      <c r="AX28" s="89"/>
    </row>
    <row r="29" spans="1:58" ht="14.55" customHeight="1" x14ac:dyDescent="0.3">
      <c r="F29" s="2" t="s">
        <v>189</v>
      </c>
      <c r="G29" s="39">
        <f>'Form 2B.1 - Design'!H63</f>
        <v>0</v>
      </c>
      <c r="H29" s="72" t="s">
        <v>191</v>
      </c>
      <c r="K29" s="39">
        <f>'Form 2B.1 - Design'!L63</f>
        <v>0</v>
      </c>
      <c r="L29" s="34" t="s">
        <v>129</v>
      </c>
      <c r="T29" s="40"/>
      <c r="Z29" s="2" t="s">
        <v>189</v>
      </c>
      <c r="AA29" s="17"/>
      <c r="AB29" s="72" t="s">
        <v>191</v>
      </c>
      <c r="AE29" s="17"/>
      <c r="AF29" s="34" t="s">
        <v>129</v>
      </c>
      <c r="AM29" s="118">
        <f>IF(ISBLANK(AA29),0,1)</f>
        <v>0</v>
      </c>
      <c r="AN29" s="118">
        <f>IF(AND(ISBLANK(AA29),ISBLANK(AE29)),1,2)</f>
        <v>1</v>
      </c>
      <c r="AV29" s="4" t="s">
        <v>111</v>
      </c>
      <c r="AW29" s="89" t="s">
        <v>359</v>
      </c>
      <c r="AX29" s="111"/>
      <c r="AY29" s="111"/>
      <c r="AZ29" s="111"/>
      <c r="BA29" s="111"/>
      <c r="BB29" s="111"/>
      <c r="BC29" s="111"/>
      <c r="BD29" s="111"/>
      <c r="BE29" s="111"/>
      <c r="BF29" s="111"/>
    </row>
    <row r="30" spans="1:58" ht="4.95" customHeight="1" x14ac:dyDescent="0.3">
      <c r="T30" s="40"/>
      <c r="AW30" s="131"/>
      <c r="AX30" s="111"/>
      <c r="AY30" s="111"/>
      <c r="AZ30" s="111"/>
      <c r="BA30" s="111"/>
      <c r="BB30" s="111"/>
      <c r="BC30" s="111"/>
      <c r="BD30" s="111"/>
      <c r="BE30" s="111"/>
      <c r="BF30" s="111"/>
    </row>
    <row r="31" spans="1:58" ht="14.55" customHeight="1" x14ac:dyDescent="0.3">
      <c r="F31" s="2" t="s">
        <v>176</v>
      </c>
      <c r="G31" s="229">
        <f>'Form 2B.1 - Design'!U63</f>
        <v>0</v>
      </c>
      <c r="H31" s="229"/>
      <c r="I31" s="229"/>
      <c r="J31" s="229"/>
      <c r="K31" s="167" t="str">
        <f>'Form 2B.1 - Design'!Y63</f>
        <v>Units?</v>
      </c>
      <c r="L31" s="167"/>
      <c r="T31" s="40"/>
      <c r="Z31" s="2" t="s">
        <v>176</v>
      </c>
      <c r="AA31" s="236"/>
      <c r="AB31" s="236"/>
      <c r="AC31" s="236"/>
      <c r="AD31" s="236"/>
      <c r="AE31" s="167" t="str">
        <f>K31</f>
        <v>Units?</v>
      </c>
      <c r="AF31" s="167"/>
      <c r="AW31" s="89" t="s">
        <v>360</v>
      </c>
      <c r="AX31" s="111"/>
      <c r="AY31" s="111"/>
      <c r="AZ31" s="111"/>
      <c r="BA31" s="111"/>
      <c r="BB31" s="111"/>
      <c r="BC31" s="111"/>
      <c r="BD31" s="111"/>
      <c r="BE31" s="111"/>
      <c r="BF31" s="111"/>
    </row>
    <row r="32" spans="1:58" ht="4.95" customHeight="1" x14ac:dyDescent="0.3">
      <c r="T32" s="40"/>
      <c r="AW32" s="63"/>
      <c r="AX32" s="63"/>
      <c r="AY32" s="63"/>
      <c r="AZ32" s="63"/>
      <c r="BA32" s="63"/>
      <c r="BB32" s="63"/>
      <c r="BC32" s="63"/>
      <c r="BD32" s="63"/>
      <c r="BE32" s="63"/>
      <c r="BF32" s="63"/>
    </row>
    <row r="33" spans="1:61" ht="14.55" customHeight="1" x14ac:dyDescent="0.3">
      <c r="D33" s="2" t="s">
        <v>180</v>
      </c>
      <c r="E33" s="39">
        <f>'Form 2B.1 - Design'!AF61</f>
        <v>0</v>
      </c>
      <c r="F33" s="72" t="s">
        <v>191</v>
      </c>
      <c r="H33" s="39">
        <f>'Form 2B.1 - Design'!AI61</f>
        <v>0</v>
      </c>
      <c r="I33" s="34" t="s">
        <v>129</v>
      </c>
      <c r="N33" s="2" t="s">
        <v>192</v>
      </c>
      <c r="O33" s="39">
        <f>'Form 2B.1 - Design'!AF63</f>
        <v>0</v>
      </c>
      <c r="P33" s="72" t="s">
        <v>191</v>
      </c>
      <c r="R33" s="39">
        <f>'Form 2B.1 - Design'!AI63</f>
        <v>0</v>
      </c>
      <c r="S33" s="34" t="s">
        <v>129</v>
      </c>
      <c r="T33" s="40"/>
      <c r="X33" s="2" t="s">
        <v>180</v>
      </c>
      <c r="Y33" s="17"/>
      <c r="Z33" s="72" t="s">
        <v>191</v>
      </c>
      <c r="AB33" s="17"/>
      <c r="AC33" s="34" t="s">
        <v>129</v>
      </c>
      <c r="AF33" s="2" t="s">
        <v>192</v>
      </c>
      <c r="AG33" s="17"/>
      <c r="AH33" s="72" t="s">
        <v>191</v>
      </c>
      <c r="AJ33" s="17"/>
      <c r="AK33" s="34" t="s">
        <v>129</v>
      </c>
      <c r="AM33" s="118">
        <f>IF(AND(ISBLANK(Y33),ISBLANK(AB33)),1,2)</f>
        <v>1</v>
      </c>
      <c r="AN33" s="118">
        <f>IF(AND(ISBLANK(AG33),ISBLANK(AJ33)),1,2)</f>
        <v>1</v>
      </c>
      <c r="AV33" s="4" t="s">
        <v>112</v>
      </c>
      <c r="AW33" s="111" t="s">
        <v>361</v>
      </c>
      <c r="AX33" s="63"/>
      <c r="AY33" s="63"/>
      <c r="AZ33" s="63"/>
      <c r="BA33" s="63"/>
      <c r="BB33" s="63"/>
      <c r="BC33" s="63"/>
      <c r="BD33" s="63"/>
      <c r="BE33" s="63"/>
      <c r="BF33" s="63"/>
    </row>
    <row r="34" spans="1:61" ht="4.95" customHeight="1" x14ac:dyDescent="0.3">
      <c r="AW34" s="131"/>
      <c r="AX34" s="89"/>
    </row>
    <row r="35" spans="1:61" ht="15" customHeight="1" x14ac:dyDescent="0.3">
      <c r="A35" s="222" t="s">
        <v>14</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121"/>
      <c r="AN35" s="122"/>
      <c r="AW35" s="111" t="s">
        <v>293</v>
      </c>
      <c r="AX35" s="89"/>
    </row>
    <row r="36" spans="1:61" ht="14.55" customHeight="1" x14ac:dyDescent="0.3">
      <c r="B36" s="1" t="s">
        <v>57</v>
      </c>
      <c r="C36" s="1"/>
      <c r="D36" s="1"/>
      <c r="E36" s="1"/>
      <c r="F36" s="1"/>
      <c r="G36" s="1"/>
      <c r="I36" s="1"/>
      <c r="J36" s="1"/>
      <c r="K36" s="1"/>
      <c r="L36" s="1"/>
      <c r="M36" s="1"/>
      <c r="N36" s="1"/>
      <c r="O36" s="1"/>
      <c r="P36" s="1"/>
      <c r="Q36" s="1"/>
      <c r="R36" s="1"/>
      <c r="S36" s="1"/>
      <c r="T36" s="1"/>
      <c r="U36" s="36"/>
      <c r="V36" s="1" t="s">
        <v>58</v>
      </c>
      <c r="X36" s="1"/>
      <c r="Y36" s="1"/>
      <c r="Z36" s="1"/>
      <c r="AA36" s="1"/>
      <c r="AB36" s="1"/>
      <c r="AC36" s="1"/>
      <c r="AD36" s="1"/>
      <c r="AE36" s="1"/>
      <c r="AF36" s="1"/>
      <c r="AG36" s="1"/>
      <c r="AH36" s="1"/>
      <c r="AI36" s="1"/>
      <c r="AJ36" s="65"/>
      <c r="AK36" s="65"/>
      <c r="AV36" s="4" t="s">
        <v>110</v>
      </c>
      <c r="AW36" s="89" t="s">
        <v>103</v>
      </c>
      <c r="AX36" s="89"/>
    </row>
    <row r="37" spans="1:61" ht="14.55" customHeight="1" x14ac:dyDescent="0.3">
      <c r="C37" s="2"/>
      <c r="D37" s="2" t="s">
        <v>198</v>
      </c>
      <c r="E37" s="227">
        <f>'Form 2B.1 - Design'!F65</f>
        <v>0</v>
      </c>
      <c r="F37" s="227"/>
      <c r="G37" s="227"/>
      <c r="H37" s="227"/>
      <c r="M37" s="2" t="s">
        <v>199</v>
      </c>
      <c r="N37" s="173">
        <f>'Form 2B.1 - Design'!P65</f>
        <v>0</v>
      </c>
      <c r="O37" s="173"/>
      <c r="P37" s="173"/>
      <c r="Q37" s="173"/>
      <c r="U37" s="36"/>
      <c r="X37" s="2" t="s">
        <v>198</v>
      </c>
      <c r="Y37" s="181"/>
      <c r="Z37" s="181"/>
      <c r="AA37" s="181"/>
      <c r="AB37" s="181"/>
      <c r="AC37" s="1"/>
      <c r="AG37" s="2" t="s">
        <v>33</v>
      </c>
      <c r="AH37" s="181"/>
      <c r="AI37" s="181"/>
      <c r="AJ37" s="181"/>
      <c r="AK37" s="181"/>
      <c r="AU37" s="19">
        <v>4</v>
      </c>
      <c r="AV37" s="89" t="s">
        <v>95</v>
      </c>
      <c r="AY37" s="89"/>
      <c r="AZ37" s="89"/>
      <c r="BA37" s="89"/>
      <c r="BB37" s="89"/>
      <c r="BC37" s="89"/>
      <c r="BD37" s="89"/>
      <c r="BE37" s="89"/>
      <c r="BF37" s="89"/>
      <c r="BG37" s="136"/>
      <c r="BH37" s="136"/>
      <c r="BI37" s="136"/>
    </row>
    <row r="38" spans="1:61" ht="14.55" customHeight="1" x14ac:dyDescent="0.3">
      <c r="C38" s="2"/>
      <c r="D38" s="2" t="s">
        <v>197</v>
      </c>
      <c r="E38" s="225">
        <f>'Form 2B.1 - Design'!F66</f>
        <v>0</v>
      </c>
      <c r="F38" s="225"/>
      <c r="G38" s="225"/>
      <c r="H38" s="8" t="s">
        <v>44</v>
      </c>
      <c r="U38" s="36"/>
      <c r="X38" s="2" t="s">
        <v>197</v>
      </c>
      <c r="Y38" s="170"/>
      <c r="Z38" s="170"/>
      <c r="AA38" s="170"/>
      <c r="AB38" s="34" t="s">
        <v>44</v>
      </c>
      <c r="AM38" s="118">
        <f>IF(ISBLANK(Y38),1,2)</f>
        <v>1</v>
      </c>
      <c r="AV38" s="4" t="s">
        <v>98</v>
      </c>
      <c r="AW38" s="34" t="s">
        <v>444</v>
      </c>
      <c r="AY38" s="89"/>
      <c r="AZ38" s="89"/>
      <c r="BA38" s="89"/>
      <c r="BB38" s="89"/>
      <c r="BC38" s="89"/>
      <c r="BD38" s="89"/>
      <c r="BE38" s="89"/>
      <c r="BF38" s="89"/>
      <c r="BG38" s="136"/>
      <c r="BH38" s="136"/>
      <c r="BI38" s="136"/>
    </row>
    <row r="39" spans="1:61" ht="14.55" customHeight="1" x14ac:dyDescent="0.3">
      <c r="C39" s="2"/>
      <c r="D39" s="2" t="s">
        <v>196</v>
      </c>
      <c r="E39" s="225">
        <f>'Form 2B.1 - Design'!F67</f>
        <v>0</v>
      </c>
      <c r="F39" s="225"/>
      <c r="G39" s="225"/>
      <c r="H39" s="8" t="s">
        <v>44</v>
      </c>
      <c r="M39" s="2" t="s">
        <v>200</v>
      </c>
      <c r="N39" s="239">
        <f>'Form 2B.1 - Design'!P67</f>
        <v>0</v>
      </c>
      <c r="O39" s="239"/>
      <c r="P39" s="239"/>
      <c r="Q39" s="34" t="s">
        <v>44</v>
      </c>
      <c r="U39" s="36"/>
      <c r="X39" s="2" t="s">
        <v>196</v>
      </c>
      <c r="Y39" s="170"/>
      <c r="Z39" s="170"/>
      <c r="AA39" s="170"/>
      <c r="AB39" s="34" t="s">
        <v>44</v>
      </c>
      <c r="AG39" s="2" t="s">
        <v>45</v>
      </c>
      <c r="AH39" s="164"/>
      <c r="AI39" s="164"/>
      <c r="AJ39" s="164"/>
      <c r="AK39" s="34" t="s">
        <v>44</v>
      </c>
      <c r="AM39" s="118">
        <f>IF(AND(ISBLANK(Y39),ISBLANK(AH39)),1,2)</f>
        <v>1</v>
      </c>
      <c r="AV39" s="4" t="s">
        <v>99</v>
      </c>
      <c r="AW39" s="89" t="s">
        <v>236</v>
      </c>
      <c r="AY39" s="89"/>
      <c r="AZ39" s="89"/>
      <c r="BA39" s="89"/>
      <c r="BB39" s="89"/>
      <c r="BC39" s="89"/>
      <c r="BD39" s="89"/>
      <c r="BE39" s="89"/>
      <c r="BF39" s="89"/>
    </row>
    <row r="40" spans="1:61" ht="14.55" customHeight="1" x14ac:dyDescent="0.3">
      <c r="C40" s="2"/>
      <c r="D40" s="2" t="s">
        <v>195</v>
      </c>
      <c r="E40" s="225">
        <f>'Form 2B.1 - Design'!F69</f>
        <v>0</v>
      </c>
      <c r="F40" s="225"/>
      <c r="G40" s="225"/>
      <c r="H40" s="8" t="s">
        <v>44</v>
      </c>
      <c r="M40" s="2" t="s">
        <v>201</v>
      </c>
      <c r="N40" s="225">
        <f>'Form 2B.1 - Design'!P69</f>
        <v>0</v>
      </c>
      <c r="O40" s="225"/>
      <c r="P40" s="225"/>
      <c r="Q40" s="34" t="s">
        <v>44</v>
      </c>
      <c r="U40" s="36"/>
      <c r="X40" s="2" t="s">
        <v>195</v>
      </c>
      <c r="Y40" s="170"/>
      <c r="Z40" s="170"/>
      <c r="AA40" s="170"/>
      <c r="AB40" s="34" t="s">
        <v>44</v>
      </c>
      <c r="AG40" s="2" t="s">
        <v>46</v>
      </c>
      <c r="AH40" s="170"/>
      <c r="AI40" s="170"/>
      <c r="AJ40" s="170"/>
      <c r="AK40" s="34" t="s">
        <v>44</v>
      </c>
      <c r="AV40" s="4" t="s">
        <v>111</v>
      </c>
      <c r="AW40" s="89" t="s">
        <v>363</v>
      </c>
      <c r="AX40" s="89"/>
      <c r="AY40" s="89"/>
      <c r="AZ40" s="89"/>
      <c r="BA40" s="89"/>
      <c r="BB40" s="89"/>
      <c r="BC40" s="89"/>
      <c r="BD40" s="89"/>
      <c r="BE40" s="89"/>
      <c r="BF40" s="89"/>
    </row>
    <row r="41" spans="1:61" ht="4.95" customHeight="1" x14ac:dyDescent="0.3">
      <c r="C41" s="2"/>
      <c r="D41" s="2"/>
      <c r="E41" s="2"/>
      <c r="F41" s="2"/>
      <c r="G41" s="2"/>
      <c r="H41" s="11"/>
      <c r="I41" s="8"/>
      <c r="M41" s="2"/>
      <c r="N41" s="12"/>
      <c r="O41" s="12"/>
      <c r="P41" s="12"/>
      <c r="U41" s="36"/>
      <c r="Z41" s="2"/>
      <c r="AA41" s="37"/>
      <c r="AB41" s="37"/>
      <c r="AC41" s="37"/>
      <c r="AH41" s="2"/>
      <c r="AI41" s="38"/>
      <c r="AJ41" s="38"/>
      <c r="AK41" s="38"/>
      <c r="AY41" s="89"/>
      <c r="AZ41" s="89"/>
      <c r="BA41" s="89"/>
      <c r="BB41" s="89"/>
      <c r="BC41" s="89"/>
      <c r="BD41" s="89"/>
      <c r="BE41" s="89"/>
      <c r="BF41" s="89"/>
    </row>
    <row r="42" spans="1:61" ht="14.55" customHeight="1" x14ac:dyDescent="0.3">
      <c r="C42" s="2"/>
      <c r="D42" s="2" t="s">
        <v>179</v>
      </c>
      <c r="E42" s="39">
        <f>'Form 2B.1 - Design'!AF67</f>
        <v>0</v>
      </c>
      <c r="F42" s="34" t="s">
        <v>128</v>
      </c>
      <c r="I42" s="39">
        <f>'Form 2B.1 - Design'!AI67</f>
        <v>0</v>
      </c>
      <c r="J42" s="34" t="s">
        <v>129</v>
      </c>
      <c r="U42" s="36"/>
      <c r="X42" s="2" t="s">
        <v>179</v>
      </c>
      <c r="Y42" s="17"/>
      <c r="Z42" s="34" t="s">
        <v>128</v>
      </c>
      <c r="AC42" s="17"/>
      <c r="AD42" s="34" t="s">
        <v>129</v>
      </c>
      <c r="AM42" s="118">
        <f>IF(AND(ISBLANK(Y42),ISBLANK(AC42)),1,2)</f>
        <v>1</v>
      </c>
      <c r="AV42" s="4" t="s">
        <v>112</v>
      </c>
      <c r="AW42" s="89" t="s">
        <v>104</v>
      </c>
      <c r="AY42" s="89"/>
      <c r="AZ42" s="89"/>
      <c r="BA42" s="89"/>
      <c r="BB42" s="89"/>
      <c r="BC42" s="89"/>
      <c r="BD42" s="89"/>
      <c r="BE42" s="89"/>
      <c r="BF42" s="89"/>
    </row>
    <row r="43" spans="1:61" ht="4.95" customHeight="1" x14ac:dyDescent="0.3">
      <c r="B43" s="2"/>
      <c r="C43" s="2"/>
      <c r="D43" s="2"/>
      <c r="E43" s="2"/>
      <c r="F43" s="2"/>
      <c r="G43" s="2"/>
      <c r="U43" s="36"/>
      <c r="Z43" s="2"/>
      <c r="AY43" s="137"/>
      <c r="AZ43" s="137"/>
      <c r="BA43" s="137"/>
      <c r="BB43" s="137"/>
      <c r="BC43" s="137"/>
      <c r="BD43" s="137"/>
      <c r="BE43" s="137"/>
      <c r="BF43" s="137"/>
    </row>
    <row r="44" spans="1:61" ht="14.55" customHeight="1" x14ac:dyDescent="0.3">
      <c r="E44" s="14" t="s">
        <v>34</v>
      </c>
      <c r="H44" s="4"/>
      <c r="J44" s="4" t="s">
        <v>313</v>
      </c>
      <c r="K44" s="4"/>
      <c r="L44" s="4"/>
      <c r="N44" s="4" t="s">
        <v>314</v>
      </c>
      <c r="O44" s="4"/>
      <c r="R44" s="4" t="s">
        <v>42</v>
      </c>
      <c r="S44" s="4"/>
      <c r="U44" s="36"/>
      <c r="W44" s="14" t="s">
        <v>34</v>
      </c>
      <c r="X44" s="4"/>
      <c r="Y44" s="4"/>
      <c r="Z44" s="4"/>
      <c r="AB44" s="4" t="s">
        <v>313</v>
      </c>
      <c r="AC44" s="4"/>
      <c r="AD44" s="4"/>
      <c r="AF44" s="4" t="s">
        <v>314</v>
      </c>
      <c r="AG44" s="4"/>
      <c r="AJ44" s="4" t="s">
        <v>42</v>
      </c>
      <c r="AK44" s="4"/>
      <c r="AV44" s="4" t="s">
        <v>110</v>
      </c>
      <c r="AW44" s="89" t="s">
        <v>105</v>
      </c>
      <c r="AY44" s="89"/>
      <c r="AZ44" s="89"/>
      <c r="BA44" s="89"/>
      <c r="BB44" s="89"/>
      <c r="BC44" s="89"/>
      <c r="BD44" s="89"/>
      <c r="BE44" s="89"/>
      <c r="BF44" s="89"/>
    </row>
    <row r="45" spans="1:61" ht="14.55" customHeight="1" x14ac:dyDescent="0.3">
      <c r="C45" s="2"/>
      <c r="D45" s="2" t="s">
        <v>194</v>
      </c>
      <c r="E45" s="173">
        <f>'Form 2B.1 - Design'!F71</f>
        <v>0</v>
      </c>
      <c r="F45" s="173"/>
      <c r="G45" s="173"/>
      <c r="I45" s="239">
        <f>'Form 2B.1 - Design'!K71</f>
        <v>0</v>
      </c>
      <c r="J45" s="239"/>
      <c r="K45" s="239"/>
      <c r="L45" s="34" t="s">
        <v>43</v>
      </c>
      <c r="M45" s="239">
        <f>'Form 2B.1 - Design'!P71</f>
        <v>0</v>
      </c>
      <c r="N45" s="239"/>
      <c r="O45" s="239"/>
      <c r="P45" s="34" t="s">
        <v>43</v>
      </c>
      <c r="Q45" s="239">
        <f>'Form 2B.1 - Design'!U71</f>
        <v>0</v>
      </c>
      <c r="R45" s="239"/>
      <c r="S45" s="239"/>
      <c r="T45" s="34" t="s">
        <v>44</v>
      </c>
      <c r="U45" s="36"/>
      <c r="W45" s="181"/>
      <c r="X45" s="181"/>
      <c r="Y45" s="181"/>
      <c r="AA45" s="164"/>
      <c r="AB45" s="164"/>
      <c r="AC45" s="164"/>
      <c r="AD45" s="34" t="s">
        <v>43</v>
      </c>
      <c r="AE45" s="164"/>
      <c r="AF45" s="164"/>
      <c r="AG45" s="164"/>
      <c r="AH45" s="34" t="s">
        <v>43</v>
      </c>
      <c r="AI45" s="164"/>
      <c r="AJ45" s="164"/>
      <c r="AK45" s="164"/>
      <c r="AL45" s="34" t="s">
        <v>44</v>
      </c>
      <c r="AM45" s="118">
        <f>IF(ISBLANK(W45),1,2)</f>
        <v>1</v>
      </c>
      <c r="AV45" s="4" t="s">
        <v>113</v>
      </c>
      <c r="AW45" s="89" t="s">
        <v>237</v>
      </c>
      <c r="AY45" s="136"/>
      <c r="AZ45" s="136"/>
      <c r="BA45" s="136"/>
      <c r="BB45" s="136"/>
      <c r="BC45" s="136"/>
      <c r="BD45" s="136"/>
      <c r="BE45" s="136"/>
      <c r="BF45" s="136"/>
    </row>
    <row r="46" spans="1:61" ht="14.55" customHeight="1" x14ac:dyDescent="0.3">
      <c r="C46" s="2"/>
      <c r="D46" s="2" t="s">
        <v>193</v>
      </c>
      <c r="E46" s="226">
        <f>'Form 2B.1 - Design'!F73</f>
        <v>0</v>
      </c>
      <c r="F46" s="226"/>
      <c r="G46" s="226"/>
      <c r="I46" s="225">
        <f>'Form 2B.1 - Design'!K73</f>
        <v>0</v>
      </c>
      <c r="J46" s="225"/>
      <c r="K46" s="225"/>
      <c r="L46" s="34" t="str">
        <f>'Form 2B.1 - Design'!N73</f>
        <v>in</v>
      </c>
      <c r="M46" s="225">
        <f>'Form 2B.1 - Design'!P73</f>
        <v>0</v>
      </c>
      <c r="N46" s="225"/>
      <c r="O46" s="225"/>
      <c r="P46" s="34" t="s">
        <v>43</v>
      </c>
      <c r="Q46" s="225">
        <f>'Form 2B.1 - Design'!U73</f>
        <v>0</v>
      </c>
      <c r="R46" s="225"/>
      <c r="S46" s="225"/>
      <c r="T46" s="34" t="s">
        <v>44</v>
      </c>
      <c r="U46" s="36"/>
      <c r="W46" s="182"/>
      <c r="X46" s="182"/>
      <c r="Y46" s="182"/>
      <c r="AA46" s="170"/>
      <c r="AB46" s="170"/>
      <c r="AC46" s="170"/>
      <c r="AD46" s="34" t="str">
        <f>IF(W46="V-notch","deg","in")</f>
        <v>in</v>
      </c>
      <c r="AE46" s="170"/>
      <c r="AF46" s="170"/>
      <c r="AG46" s="170"/>
      <c r="AH46" s="34" t="s">
        <v>43</v>
      </c>
      <c r="AI46" s="170"/>
      <c r="AJ46" s="170"/>
      <c r="AK46" s="170"/>
      <c r="AL46" s="34" t="s">
        <v>44</v>
      </c>
      <c r="AM46" s="118">
        <f>IF(ISBLANK(W46),1,2)</f>
        <v>1</v>
      </c>
      <c r="AV46" s="4" t="s">
        <v>362</v>
      </c>
      <c r="AW46" s="89" t="s">
        <v>238</v>
      </c>
      <c r="AY46" s="136"/>
      <c r="AZ46" s="136"/>
      <c r="BA46" s="136"/>
      <c r="BB46" s="136"/>
      <c r="BC46" s="136"/>
      <c r="BD46" s="136"/>
      <c r="BE46" s="136"/>
      <c r="BF46" s="136"/>
    </row>
    <row r="47" spans="1:61" ht="4.95" customHeight="1" x14ac:dyDescent="0.3">
      <c r="C47" s="2"/>
      <c r="D47" s="2"/>
      <c r="E47" s="2"/>
      <c r="F47" s="2"/>
      <c r="G47" s="2"/>
      <c r="H47" s="8"/>
      <c r="J47" s="12"/>
      <c r="K47" s="12"/>
      <c r="L47" s="12"/>
      <c r="N47" s="12"/>
      <c r="O47" s="12"/>
      <c r="P47" s="12"/>
      <c r="R47" s="12"/>
      <c r="S47" s="12"/>
      <c r="T47" s="12"/>
      <c r="U47" s="36"/>
      <c r="AA47" s="38"/>
      <c r="AB47" s="38"/>
      <c r="AC47" s="38"/>
      <c r="AE47" s="38"/>
      <c r="AF47" s="38"/>
      <c r="AG47" s="38"/>
      <c r="AI47" s="38"/>
      <c r="AJ47" s="38"/>
      <c r="AK47" s="38"/>
    </row>
    <row r="48" spans="1:61" ht="14.55" customHeight="1" x14ac:dyDescent="0.3">
      <c r="D48" s="2" t="s">
        <v>357</v>
      </c>
      <c r="E48" s="39">
        <f>'Form 2B.1 - Design'!AF73</f>
        <v>0</v>
      </c>
      <c r="F48" s="34" t="s">
        <v>128</v>
      </c>
      <c r="I48" s="39">
        <f>'Form 2B.1 - Design'!AI73</f>
        <v>0</v>
      </c>
      <c r="J48" s="34" t="s">
        <v>129</v>
      </c>
      <c r="U48" s="36"/>
      <c r="X48" s="2" t="s">
        <v>357</v>
      </c>
      <c r="Y48" s="17"/>
      <c r="Z48" s="34" t="s">
        <v>128</v>
      </c>
      <c r="AC48" s="17"/>
      <c r="AD48" s="34" t="s">
        <v>129</v>
      </c>
      <c r="AM48" s="118">
        <f>IF(AND(ISBLANK(Y48),ISBLANK(AC48)),1,2)</f>
        <v>1</v>
      </c>
      <c r="AN48" s="116">
        <f>IF(ISBLANK(AC48),1,2)</f>
        <v>1</v>
      </c>
      <c r="AU48" s="19">
        <v>5</v>
      </c>
      <c r="AV48" s="89" t="str">
        <f>"Form 3B – Retention Pond As-built Certification Form shall be approved by the "&amp;Tables!C23&amp;" prior to:"</f>
        <v>Form 3B – Retention Pond As-built Certification Form shall be approved by the City prior to:</v>
      </c>
    </row>
    <row r="49" spans="1:58" ht="4.95" customHeight="1" x14ac:dyDescent="0.3">
      <c r="D49" s="2"/>
      <c r="E49" s="2"/>
      <c r="F49" s="2"/>
      <c r="G49" s="2"/>
      <c r="U49" s="36"/>
      <c r="W49" s="2"/>
      <c r="X49" s="2"/>
      <c r="Y49" s="2"/>
      <c r="AX49" s="89"/>
    </row>
    <row r="50" spans="1:58" ht="14.55" customHeight="1" x14ac:dyDescent="0.3">
      <c r="D50" s="2" t="str">
        <f>'Form 2B.1 - Design'!C75</f>
        <v xml:space="preserve">Select: </v>
      </c>
      <c r="E50" s="227">
        <f>'Form 2B.1 - Design'!F75</f>
        <v>0</v>
      </c>
      <c r="F50" s="227"/>
      <c r="G50" s="227"/>
      <c r="I50" s="239">
        <f>'Form 2B.1 - Design'!K75</f>
        <v>0</v>
      </c>
      <c r="J50" s="239"/>
      <c r="K50" s="239"/>
      <c r="L50" s="34" t="str">
        <f>'Form 2B.1 - Design'!N75</f>
        <v>in</v>
      </c>
      <c r="M50" s="239">
        <f>'Form 2B.1 - Design'!P75</f>
        <v>0</v>
      </c>
      <c r="N50" s="239"/>
      <c r="O50" s="239"/>
      <c r="P50" s="34" t="s">
        <v>43</v>
      </c>
      <c r="Q50" s="239">
        <f>'Form 2B.1 - Design'!U75</f>
        <v>0</v>
      </c>
      <c r="R50" s="239"/>
      <c r="S50" s="239"/>
      <c r="T50" s="34" t="s">
        <v>44</v>
      </c>
      <c r="U50" s="36"/>
      <c r="W50" s="181"/>
      <c r="X50" s="181"/>
      <c r="Y50" s="181"/>
      <c r="AA50" s="164"/>
      <c r="AB50" s="164"/>
      <c r="AC50" s="164"/>
      <c r="AD50" s="34" t="str">
        <f>IF(W50="V-notch","deg","in")</f>
        <v>in</v>
      </c>
      <c r="AE50" s="164"/>
      <c r="AF50" s="164"/>
      <c r="AG50" s="164"/>
      <c r="AH50" s="34" t="s">
        <v>43</v>
      </c>
      <c r="AI50" s="164"/>
      <c r="AJ50" s="164"/>
      <c r="AK50" s="164"/>
      <c r="AL50" s="34" t="s">
        <v>44</v>
      </c>
      <c r="AM50" s="118">
        <f t="shared" ref="AM50:AM56" si="0">IF(ISBLANK(W50),1,2)</f>
        <v>1</v>
      </c>
      <c r="AV50" s="4" t="s">
        <v>98</v>
      </c>
      <c r="AW50" s="89" t="s">
        <v>109</v>
      </c>
      <c r="AX50" s="89"/>
    </row>
    <row r="51" spans="1:58" ht="14.55" customHeight="1" x14ac:dyDescent="0.3">
      <c r="D51" s="2" t="str">
        <f>'Form 2B.1 - Design'!C77</f>
        <v xml:space="preserve">Select: </v>
      </c>
      <c r="E51" s="228">
        <f>'Form 2B.1 - Design'!F77</f>
        <v>0</v>
      </c>
      <c r="F51" s="228"/>
      <c r="G51" s="228"/>
      <c r="I51" s="225">
        <f>'Form 2B.1 - Design'!K77</f>
        <v>0</v>
      </c>
      <c r="J51" s="225"/>
      <c r="K51" s="225"/>
      <c r="L51" s="34" t="str">
        <f>'Form 2B.1 - Design'!N77</f>
        <v>in</v>
      </c>
      <c r="M51" s="225">
        <f>'Form 2B.1 - Design'!P77</f>
        <v>0</v>
      </c>
      <c r="N51" s="225"/>
      <c r="O51" s="225"/>
      <c r="P51" s="34" t="s">
        <v>43</v>
      </c>
      <c r="Q51" s="225">
        <f>'Form 2B.1 - Design'!U77</f>
        <v>0</v>
      </c>
      <c r="R51" s="225"/>
      <c r="S51" s="225"/>
      <c r="T51" s="34" t="s">
        <v>44</v>
      </c>
      <c r="U51" s="36"/>
      <c r="W51" s="181"/>
      <c r="X51" s="181"/>
      <c r="Y51" s="181"/>
      <c r="AA51" s="170"/>
      <c r="AB51" s="170"/>
      <c r="AC51" s="170"/>
      <c r="AD51" s="34" t="str">
        <f t="shared" ref="AD51:AD56" si="1">IF(W51="V-notch","deg","in")</f>
        <v>in</v>
      </c>
      <c r="AE51" s="170"/>
      <c r="AF51" s="170"/>
      <c r="AG51" s="170"/>
      <c r="AH51" s="34" t="s">
        <v>43</v>
      </c>
      <c r="AI51" s="170"/>
      <c r="AJ51" s="170"/>
      <c r="AK51" s="170"/>
      <c r="AL51" s="34" t="s">
        <v>44</v>
      </c>
      <c r="AM51" s="118">
        <f t="shared" si="0"/>
        <v>1</v>
      </c>
      <c r="AV51" s="4" t="s">
        <v>99</v>
      </c>
      <c r="AW51" s="89" t="s">
        <v>106</v>
      </c>
      <c r="AX51" s="136"/>
      <c r="AY51" s="31"/>
      <c r="AZ51" s="31"/>
      <c r="BA51" s="31"/>
      <c r="BB51" s="31"/>
      <c r="BC51" s="31"/>
      <c r="BD51" s="31"/>
      <c r="BE51" s="31"/>
      <c r="BF51" s="31"/>
    </row>
    <row r="52" spans="1:58" ht="14.55" customHeight="1" x14ac:dyDescent="0.3">
      <c r="D52" s="2" t="str">
        <f>'Form 2B.1 - Design'!C78</f>
        <v xml:space="preserve">Select: </v>
      </c>
      <c r="E52" s="228">
        <f>'Form 2B.1 - Design'!F78</f>
        <v>0</v>
      </c>
      <c r="F52" s="228"/>
      <c r="G52" s="228"/>
      <c r="I52" s="225">
        <f>'Form 2B.1 - Design'!K78</f>
        <v>0</v>
      </c>
      <c r="J52" s="225"/>
      <c r="K52" s="225"/>
      <c r="L52" s="34" t="str">
        <f>'Form 2B.1 - Design'!N78</f>
        <v>in</v>
      </c>
      <c r="M52" s="225">
        <f>'Form 2B.1 - Design'!P78</f>
        <v>0</v>
      </c>
      <c r="N52" s="225"/>
      <c r="O52" s="225"/>
      <c r="P52" s="34" t="s">
        <v>43</v>
      </c>
      <c r="Q52" s="225">
        <f>'Form 2B.1 - Design'!U78</f>
        <v>0</v>
      </c>
      <c r="R52" s="225"/>
      <c r="S52" s="225"/>
      <c r="T52" s="34" t="s">
        <v>44</v>
      </c>
      <c r="U52" s="36"/>
      <c r="W52" s="181"/>
      <c r="X52" s="181"/>
      <c r="Y52" s="181"/>
      <c r="AA52" s="170"/>
      <c r="AB52" s="170"/>
      <c r="AC52" s="170"/>
      <c r="AD52" s="34" t="str">
        <f t="shared" si="1"/>
        <v>in</v>
      </c>
      <c r="AE52" s="170"/>
      <c r="AF52" s="170"/>
      <c r="AG52" s="170"/>
      <c r="AH52" s="34" t="s">
        <v>43</v>
      </c>
      <c r="AI52" s="170"/>
      <c r="AJ52" s="170"/>
      <c r="AK52" s="170"/>
      <c r="AL52" s="34" t="s">
        <v>44</v>
      </c>
      <c r="AM52" s="118">
        <f t="shared" si="0"/>
        <v>1</v>
      </c>
      <c r="AX52" s="136"/>
      <c r="AY52" s="31"/>
      <c r="AZ52" s="31"/>
      <c r="BA52" s="31"/>
      <c r="BB52" s="31"/>
      <c r="BC52" s="31"/>
      <c r="BD52" s="31"/>
      <c r="BE52" s="31"/>
      <c r="BF52" s="31"/>
    </row>
    <row r="53" spans="1:58" ht="14.55" customHeight="1" x14ac:dyDescent="0.3">
      <c r="D53" s="2" t="str">
        <f>'Form 2B.1 - Design'!C79</f>
        <v xml:space="preserve">Select: </v>
      </c>
      <c r="E53" s="228">
        <f>'Form 2B.1 - Design'!F79</f>
        <v>0</v>
      </c>
      <c r="F53" s="228"/>
      <c r="G53" s="228"/>
      <c r="I53" s="225">
        <f>'Form 2B.1 - Design'!K79</f>
        <v>0</v>
      </c>
      <c r="J53" s="225"/>
      <c r="K53" s="225"/>
      <c r="L53" s="34" t="str">
        <f>'Form 2B.1 - Design'!N79</f>
        <v>in</v>
      </c>
      <c r="M53" s="225">
        <f>'Form 2B.1 - Design'!P79</f>
        <v>0</v>
      </c>
      <c r="N53" s="225"/>
      <c r="O53" s="225"/>
      <c r="P53" s="34" t="s">
        <v>43</v>
      </c>
      <c r="Q53" s="225">
        <f>'Form 2B.1 - Design'!U79</f>
        <v>0</v>
      </c>
      <c r="R53" s="225"/>
      <c r="S53" s="225"/>
      <c r="T53" s="34" t="s">
        <v>44</v>
      </c>
      <c r="U53" s="36"/>
      <c r="W53" s="181"/>
      <c r="X53" s="181"/>
      <c r="Y53" s="181"/>
      <c r="AA53" s="170"/>
      <c r="AB53" s="170"/>
      <c r="AC53" s="170"/>
      <c r="AD53" s="34" t="str">
        <f t="shared" si="1"/>
        <v>in</v>
      </c>
      <c r="AE53" s="170"/>
      <c r="AF53" s="170"/>
      <c r="AG53" s="170"/>
      <c r="AH53" s="34" t="s">
        <v>43</v>
      </c>
      <c r="AI53" s="170"/>
      <c r="AJ53" s="170"/>
      <c r="AK53" s="170"/>
      <c r="AL53" s="34" t="s">
        <v>44</v>
      </c>
      <c r="AM53" s="118">
        <f t="shared" si="0"/>
        <v>1</v>
      </c>
      <c r="AY53" s="31"/>
      <c r="AZ53" s="31"/>
      <c r="BA53" s="31"/>
      <c r="BB53" s="31"/>
      <c r="BC53" s="31"/>
      <c r="BD53" s="31"/>
      <c r="BE53" s="31"/>
      <c r="BF53" s="31"/>
    </row>
    <row r="54" spans="1:58" ht="14.55" customHeight="1" x14ac:dyDescent="0.3">
      <c r="D54" s="2" t="str">
        <f>'Form 2B.1 - Design'!C80</f>
        <v xml:space="preserve">Select: </v>
      </c>
      <c r="E54" s="228">
        <f>'Form 2B.1 - Design'!F80</f>
        <v>0</v>
      </c>
      <c r="F54" s="228"/>
      <c r="G54" s="228"/>
      <c r="I54" s="225">
        <f>'Form 2B.1 - Design'!K80</f>
        <v>0</v>
      </c>
      <c r="J54" s="225"/>
      <c r="K54" s="225"/>
      <c r="L54" s="34" t="str">
        <f>'Form 2B.1 - Design'!N80</f>
        <v>in</v>
      </c>
      <c r="M54" s="225">
        <f>'Form 2B.1 - Design'!P80</f>
        <v>0</v>
      </c>
      <c r="N54" s="225"/>
      <c r="O54" s="225"/>
      <c r="P54" s="34" t="s">
        <v>43</v>
      </c>
      <c r="Q54" s="225">
        <f>'Form 2B.1 - Design'!U80</f>
        <v>0</v>
      </c>
      <c r="R54" s="225"/>
      <c r="S54" s="225"/>
      <c r="T54" s="34" t="s">
        <v>44</v>
      </c>
      <c r="U54" s="36"/>
      <c r="W54" s="181"/>
      <c r="X54" s="181"/>
      <c r="Y54" s="181"/>
      <c r="AA54" s="170"/>
      <c r="AB54" s="170"/>
      <c r="AC54" s="170"/>
      <c r="AD54" s="34" t="str">
        <f t="shared" si="1"/>
        <v>in</v>
      </c>
      <c r="AE54" s="170"/>
      <c r="AF54" s="170"/>
      <c r="AG54" s="170"/>
      <c r="AH54" s="34" t="s">
        <v>43</v>
      </c>
      <c r="AI54" s="170"/>
      <c r="AJ54" s="170"/>
      <c r="AK54" s="170"/>
      <c r="AL54" s="34" t="s">
        <v>44</v>
      </c>
      <c r="AM54" s="118">
        <f t="shared" si="0"/>
        <v>1</v>
      </c>
      <c r="AY54" s="31"/>
      <c r="AZ54" s="31"/>
      <c r="BA54" s="31"/>
      <c r="BB54" s="31"/>
      <c r="BC54" s="31"/>
      <c r="BD54" s="31"/>
      <c r="BE54" s="31"/>
      <c r="BF54" s="31"/>
    </row>
    <row r="55" spans="1:58" ht="14.55" customHeight="1" x14ac:dyDescent="0.3">
      <c r="D55" s="2" t="str">
        <f>'Form 2B.1 - Design'!C81</f>
        <v xml:space="preserve">Select: </v>
      </c>
      <c r="E55" s="228">
        <f>'Form 2B.1 - Design'!F81</f>
        <v>0</v>
      </c>
      <c r="F55" s="228"/>
      <c r="G55" s="228"/>
      <c r="I55" s="225">
        <f>'Form 2B.1 - Design'!K81</f>
        <v>0</v>
      </c>
      <c r="J55" s="225"/>
      <c r="K55" s="225"/>
      <c r="L55" s="34" t="str">
        <f>'Form 2B.1 - Design'!N81</f>
        <v>in</v>
      </c>
      <c r="M55" s="225">
        <f>'Form 2B.1 - Design'!P81</f>
        <v>0</v>
      </c>
      <c r="N55" s="225"/>
      <c r="O55" s="225"/>
      <c r="P55" s="34" t="s">
        <v>43</v>
      </c>
      <c r="Q55" s="225">
        <f>'Form 2B.1 - Design'!U81</f>
        <v>0</v>
      </c>
      <c r="R55" s="225"/>
      <c r="S55" s="225"/>
      <c r="T55" s="34" t="s">
        <v>44</v>
      </c>
      <c r="U55" s="36"/>
      <c r="W55" s="181"/>
      <c r="X55" s="181"/>
      <c r="Y55" s="181"/>
      <c r="AA55" s="170"/>
      <c r="AB55" s="170"/>
      <c r="AC55" s="170"/>
      <c r="AD55" s="34" t="str">
        <f t="shared" si="1"/>
        <v>in</v>
      </c>
      <c r="AE55" s="170"/>
      <c r="AF55" s="170"/>
      <c r="AG55" s="170"/>
      <c r="AH55" s="34" t="s">
        <v>43</v>
      </c>
      <c r="AI55" s="170"/>
      <c r="AJ55" s="170"/>
      <c r="AK55" s="170"/>
      <c r="AL55" s="34" t="s">
        <v>44</v>
      </c>
      <c r="AM55" s="118">
        <f t="shared" si="0"/>
        <v>1</v>
      </c>
      <c r="AU55" s="30"/>
      <c r="AX55" s="31"/>
      <c r="AY55" s="31"/>
      <c r="AZ55" s="31"/>
      <c r="BA55" s="31"/>
      <c r="BB55" s="31"/>
      <c r="BC55" s="31"/>
      <c r="BD55" s="31"/>
      <c r="BE55" s="31"/>
      <c r="BF55" s="31"/>
    </row>
    <row r="56" spans="1:58" ht="14.55" customHeight="1" x14ac:dyDescent="0.3">
      <c r="D56" s="2" t="str">
        <f>'Form 2B.1 - Design'!C82</f>
        <v xml:space="preserve">Select: </v>
      </c>
      <c r="E56" s="228">
        <f>'Form 2B.1 - Design'!F82</f>
        <v>0</v>
      </c>
      <c r="F56" s="228"/>
      <c r="G56" s="228"/>
      <c r="I56" s="225">
        <f>'Form 2B.1 - Design'!K82</f>
        <v>0</v>
      </c>
      <c r="J56" s="225"/>
      <c r="K56" s="225"/>
      <c r="L56" s="34" t="str">
        <f>'Form 2B.1 - Design'!N82</f>
        <v>in</v>
      </c>
      <c r="M56" s="225">
        <f>'Form 2B.1 - Design'!P82</f>
        <v>0</v>
      </c>
      <c r="N56" s="225"/>
      <c r="O56" s="225"/>
      <c r="P56" s="34" t="s">
        <v>43</v>
      </c>
      <c r="Q56" s="225">
        <f>'Form 2B.1 - Design'!U82</f>
        <v>0</v>
      </c>
      <c r="R56" s="225"/>
      <c r="S56" s="225"/>
      <c r="T56" s="34" t="s">
        <v>44</v>
      </c>
      <c r="U56" s="36"/>
      <c r="W56" s="181"/>
      <c r="X56" s="181"/>
      <c r="Y56" s="181"/>
      <c r="AA56" s="170"/>
      <c r="AB56" s="170"/>
      <c r="AC56" s="170"/>
      <c r="AD56" s="34" t="str">
        <f t="shared" si="1"/>
        <v>in</v>
      </c>
      <c r="AE56" s="170"/>
      <c r="AF56" s="170"/>
      <c r="AG56" s="170"/>
      <c r="AH56" s="34" t="s">
        <v>43</v>
      </c>
      <c r="AI56" s="170"/>
      <c r="AJ56" s="170"/>
      <c r="AK56" s="170"/>
      <c r="AL56" s="34" t="s">
        <v>44</v>
      </c>
      <c r="AM56" s="118">
        <f t="shared" si="0"/>
        <v>1</v>
      </c>
      <c r="AX56" s="31"/>
      <c r="AY56" s="31"/>
      <c r="AZ56" s="31"/>
      <c r="BA56" s="31"/>
      <c r="BB56" s="31"/>
      <c r="BC56" s="31"/>
      <c r="BD56" s="31"/>
      <c r="BE56" s="31"/>
      <c r="BF56" s="31"/>
    </row>
    <row r="57" spans="1:58" ht="4.95" customHeight="1" x14ac:dyDescent="0.3">
      <c r="B57" s="2"/>
      <c r="C57" s="2"/>
      <c r="D57" s="2"/>
      <c r="E57" s="2"/>
      <c r="F57" s="2"/>
      <c r="G57" s="2"/>
      <c r="J57" s="38"/>
      <c r="K57" s="38"/>
      <c r="L57" s="38"/>
      <c r="N57" s="38"/>
      <c r="O57" s="38"/>
      <c r="P57" s="38"/>
      <c r="R57" s="38"/>
      <c r="S57" s="38"/>
      <c r="T57" s="38"/>
      <c r="AA57" s="38"/>
      <c r="AB57" s="38"/>
      <c r="AC57" s="38"/>
      <c r="AE57" s="38"/>
      <c r="AF57" s="38"/>
      <c r="AG57" s="38"/>
      <c r="AI57" s="38"/>
      <c r="AJ57" s="38"/>
      <c r="AK57" s="38"/>
      <c r="AU57" s="34"/>
      <c r="AY57" s="31"/>
      <c r="AZ57" s="31"/>
      <c r="BA57" s="31"/>
      <c r="BB57" s="31"/>
      <c r="BC57" s="31"/>
      <c r="BD57" s="31"/>
      <c r="BE57" s="31"/>
      <c r="BF57" s="31"/>
    </row>
    <row r="58" spans="1:58" ht="15" customHeight="1" x14ac:dyDescent="0.3">
      <c r="AK58" s="38"/>
      <c r="AU58" s="34"/>
      <c r="AY58" s="31"/>
      <c r="AZ58" s="31"/>
      <c r="BA58" s="31"/>
      <c r="BB58" s="31"/>
      <c r="BC58" s="31"/>
      <c r="BD58" s="31"/>
      <c r="BE58" s="31"/>
      <c r="BF58" s="31"/>
    </row>
    <row r="59" spans="1:58" ht="15" customHeight="1" x14ac:dyDescent="0.3">
      <c r="B59" s="186">
        <f>Tables!$C$13</f>
        <v>45566</v>
      </c>
      <c r="C59" s="186"/>
      <c r="D59" s="186"/>
      <c r="E59" s="186"/>
      <c r="F59" s="186"/>
      <c r="G59" s="186"/>
      <c r="H59" s="186"/>
      <c r="R59" s="185" t="s">
        <v>240</v>
      </c>
      <c r="S59" s="185"/>
      <c r="T59" s="185"/>
      <c r="U59" s="185"/>
      <c r="AK59" s="38"/>
      <c r="AU59" s="34"/>
      <c r="AY59" s="31"/>
      <c r="AZ59" s="31"/>
      <c r="BA59" s="31"/>
      <c r="BB59" s="31"/>
      <c r="BC59" s="31"/>
      <c r="BD59" s="31"/>
      <c r="BE59" s="31"/>
      <c r="BF59" s="31"/>
    </row>
    <row r="60" spans="1:58" ht="15" customHeight="1" x14ac:dyDescent="0.3">
      <c r="C60" s="2" t="s">
        <v>1</v>
      </c>
      <c r="D60" s="173">
        <f>IF(ISBLANK($E$15),"",$E$15)</f>
        <v>0</v>
      </c>
      <c r="E60" s="173"/>
      <c r="F60" s="173"/>
      <c r="G60" s="173"/>
      <c r="H60" s="173"/>
      <c r="I60" s="173"/>
      <c r="J60" s="173"/>
      <c r="K60" s="173"/>
      <c r="L60" s="173"/>
      <c r="M60" s="173"/>
      <c r="N60" s="173"/>
      <c r="O60" s="173"/>
      <c r="P60" s="173"/>
      <c r="Q60" s="173"/>
      <c r="R60" s="173"/>
      <c r="S60" s="173"/>
      <c r="T60" s="173"/>
      <c r="U60" s="173"/>
      <c r="V60" s="173"/>
      <c r="W60" s="173"/>
      <c r="X60" s="173"/>
      <c r="Y60" s="173"/>
      <c r="Z60" s="173"/>
      <c r="AA60" s="46"/>
      <c r="AB60" s="46"/>
      <c r="AC60" s="46"/>
      <c r="AF60" s="2" t="s">
        <v>21</v>
      </c>
      <c r="AG60" s="174">
        <f>AF15</f>
        <v>0</v>
      </c>
      <c r="AH60" s="174"/>
      <c r="AI60" s="174"/>
      <c r="AJ60" s="174"/>
      <c r="AK60" s="174"/>
      <c r="AU60" s="34"/>
      <c r="AY60" s="31"/>
      <c r="AZ60" s="31"/>
      <c r="BA60" s="31"/>
      <c r="BB60" s="31"/>
      <c r="BC60" s="31"/>
      <c r="BD60" s="31"/>
      <c r="BE60" s="31"/>
      <c r="BF60" s="31"/>
    </row>
    <row r="61" spans="1:58" ht="15" customHeight="1" x14ac:dyDescent="0.3">
      <c r="H61" s="47"/>
      <c r="I61" s="47"/>
      <c r="J61" s="2"/>
      <c r="K61" s="2"/>
      <c r="L61" s="2"/>
      <c r="M61" s="47"/>
      <c r="N61" s="46"/>
      <c r="O61" s="46"/>
      <c r="P61" s="46"/>
      <c r="Q61" s="46"/>
      <c r="R61" s="46"/>
      <c r="S61" s="46"/>
      <c r="T61" s="46"/>
      <c r="U61" s="46"/>
      <c r="V61" s="46"/>
      <c r="W61" s="46"/>
      <c r="X61" s="46"/>
      <c r="Y61" s="46"/>
      <c r="Z61" s="46"/>
      <c r="AA61" s="46"/>
      <c r="AB61" s="46"/>
      <c r="AC61" s="46"/>
      <c r="AF61" s="2" t="s">
        <v>35</v>
      </c>
      <c r="AG61" s="224">
        <f>IF(ISBLANK($AF$16),"",$AF$16)</f>
        <v>0</v>
      </c>
      <c r="AH61" s="224"/>
      <c r="AI61" s="224"/>
      <c r="AJ61" s="224"/>
      <c r="AK61" s="224"/>
      <c r="AU61" s="34"/>
      <c r="AY61" s="31"/>
      <c r="AZ61" s="31"/>
      <c r="BA61" s="31"/>
      <c r="BB61" s="31"/>
      <c r="BC61" s="31"/>
      <c r="BD61" s="31"/>
      <c r="BE61" s="31"/>
      <c r="BF61" s="31"/>
    </row>
    <row r="62" spans="1:58" ht="4.95" customHeight="1" x14ac:dyDescent="0.3">
      <c r="B62" s="2"/>
      <c r="C62" s="2"/>
      <c r="D62" s="2"/>
      <c r="E62" s="2"/>
      <c r="F62" s="2"/>
      <c r="G62" s="2"/>
      <c r="J62" s="38"/>
      <c r="K62" s="38"/>
      <c r="L62" s="38"/>
      <c r="N62" s="38"/>
      <c r="O62" s="38"/>
      <c r="P62" s="38"/>
      <c r="R62" s="38"/>
      <c r="S62" s="38"/>
      <c r="T62" s="38"/>
      <c r="AA62" s="38"/>
      <c r="AB62" s="38"/>
      <c r="AC62" s="38"/>
      <c r="AE62" s="38"/>
      <c r="AF62" s="38"/>
      <c r="AG62" s="38"/>
      <c r="AI62" s="38"/>
      <c r="AJ62" s="38"/>
      <c r="AK62" s="38"/>
      <c r="AU62" s="34"/>
      <c r="AY62" s="31"/>
      <c r="AZ62" s="31"/>
      <c r="BA62" s="31"/>
      <c r="BB62" s="31"/>
      <c r="BC62" s="31"/>
      <c r="BD62" s="31"/>
      <c r="BE62" s="31"/>
      <c r="BF62" s="31"/>
    </row>
    <row r="63" spans="1:58" ht="15" customHeight="1" x14ac:dyDescent="0.3">
      <c r="A63" s="222" t="s">
        <v>15</v>
      </c>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121"/>
      <c r="AN63" s="122"/>
      <c r="AW63" s="31"/>
      <c r="AX63" s="31"/>
      <c r="AY63" s="31"/>
      <c r="AZ63" s="31"/>
      <c r="BA63" s="31"/>
      <c r="BB63" s="31"/>
      <c r="BC63" s="31"/>
      <c r="BD63" s="31"/>
      <c r="BE63" s="31"/>
      <c r="BF63" s="31"/>
    </row>
    <row r="64" spans="1:58" ht="15" customHeight="1" x14ac:dyDescent="0.3">
      <c r="B64" s="1" t="s">
        <v>57</v>
      </c>
      <c r="C64" s="1"/>
      <c r="D64" s="1"/>
      <c r="E64" s="1"/>
      <c r="F64" s="1"/>
      <c r="G64" s="1"/>
      <c r="I64" s="1"/>
      <c r="J64" s="1"/>
      <c r="K64" s="1"/>
      <c r="L64" s="1"/>
      <c r="M64" s="1"/>
      <c r="N64" s="1"/>
      <c r="O64" s="1"/>
      <c r="P64" s="1"/>
      <c r="Q64" s="1"/>
      <c r="R64" s="1"/>
      <c r="S64" s="1"/>
      <c r="T64" s="1"/>
      <c r="U64" s="36"/>
      <c r="V64" s="1" t="s">
        <v>58</v>
      </c>
      <c r="W64" s="1"/>
      <c r="X64" s="1"/>
      <c r="Y64" s="1"/>
      <c r="Z64" s="1"/>
      <c r="AA64" s="1"/>
      <c r="AB64" s="1"/>
      <c r="AC64" s="1"/>
      <c r="AD64" s="1"/>
      <c r="AE64" s="1"/>
      <c r="AF64" s="1"/>
      <c r="AG64" s="1"/>
      <c r="AH64" s="1"/>
      <c r="AI64" s="65"/>
      <c r="AJ64" s="65"/>
      <c r="AM64" s="118">
        <f>SUM(AM65:AM67,AO65:AO67)</f>
        <v>0</v>
      </c>
      <c r="AN64" s="16" t="s">
        <v>84</v>
      </c>
      <c r="AU64" s="30"/>
      <c r="AX64" s="31"/>
      <c r="AY64" s="31"/>
      <c r="AZ64" s="31"/>
      <c r="BA64" s="31"/>
      <c r="BB64" s="31"/>
      <c r="BC64" s="31"/>
      <c r="BD64" s="31"/>
      <c r="BE64" s="31"/>
      <c r="BF64" s="31"/>
    </row>
    <row r="65" spans="1:58" ht="15" customHeight="1" x14ac:dyDescent="0.3">
      <c r="C65" s="2"/>
      <c r="D65" s="2" t="s">
        <v>30</v>
      </c>
      <c r="E65" s="173">
        <f>'Form 2B.1 - Design'!F85</f>
        <v>0</v>
      </c>
      <c r="F65" s="173"/>
      <c r="G65" s="173"/>
      <c r="H65" s="173"/>
      <c r="N65" s="2" t="s">
        <v>33</v>
      </c>
      <c r="O65" s="173">
        <f>'Form 2B.1 - Design'!O85</f>
        <v>0</v>
      </c>
      <c r="P65" s="173"/>
      <c r="Q65" s="173"/>
      <c r="R65" s="173"/>
      <c r="U65" s="36"/>
      <c r="X65" s="2" t="s">
        <v>30</v>
      </c>
      <c r="Y65" s="181"/>
      <c r="Z65" s="181"/>
      <c r="AA65" s="181"/>
      <c r="AB65" s="181"/>
      <c r="AG65" s="2" t="s">
        <v>33</v>
      </c>
      <c r="AH65" s="181"/>
      <c r="AI65" s="181"/>
      <c r="AJ65" s="181"/>
      <c r="AK65" s="181"/>
      <c r="AM65" s="118">
        <f>IF(ISBLANK(Y65),0,1)</f>
        <v>0</v>
      </c>
      <c r="AN65" s="16" t="s">
        <v>24</v>
      </c>
      <c r="AO65" s="118">
        <f>IF(ISBLANK(AH65),0,1)</f>
        <v>0</v>
      </c>
      <c r="AP65" s="128" t="s">
        <v>34</v>
      </c>
      <c r="AQ65" s="128"/>
      <c r="AR65" s="128"/>
      <c r="AU65" s="30"/>
      <c r="AX65" s="31"/>
      <c r="AY65" s="31"/>
      <c r="AZ65" s="31"/>
      <c r="BA65" s="31"/>
      <c r="BB65" s="31"/>
      <c r="BC65" s="31"/>
      <c r="BD65" s="31"/>
      <c r="BE65" s="31"/>
      <c r="BF65" s="31"/>
    </row>
    <row r="66" spans="1:58" ht="15" customHeight="1" x14ac:dyDescent="0.3">
      <c r="C66" s="2"/>
      <c r="D66" s="2" t="s">
        <v>41</v>
      </c>
      <c r="E66" s="225">
        <f>'Form 2B.1 - Design'!F86</f>
        <v>0</v>
      </c>
      <c r="F66" s="225"/>
      <c r="G66" s="225"/>
      <c r="H66" s="34" t="s">
        <v>44</v>
      </c>
      <c r="N66" s="2" t="s">
        <v>45</v>
      </c>
      <c r="O66" s="225">
        <f>'Form 2B.1 - Design'!O86</f>
        <v>0</v>
      </c>
      <c r="P66" s="225"/>
      <c r="Q66" s="225"/>
      <c r="R66" s="34" t="s">
        <v>44</v>
      </c>
      <c r="U66" s="36"/>
      <c r="X66" s="2" t="s">
        <v>41</v>
      </c>
      <c r="Y66" s="170"/>
      <c r="Z66" s="170"/>
      <c r="AA66" s="170"/>
      <c r="AB66" s="34" t="s">
        <v>44</v>
      </c>
      <c r="AG66" s="2" t="s">
        <v>45</v>
      </c>
      <c r="AH66" s="170"/>
      <c r="AI66" s="170"/>
      <c r="AJ66" s="170"/>
      <c r="AK66" s="34" t="s">
        <v>44</v>
      </c>
      <c r="AM66" s="118">
        <f>IF(ISBLANK(Y66),0,1)</f>
        <v>0</v>
      </c>
      <c r="AN66" s="16" t="s">
        <v>53</v>
      </c>
      <c r="AO66" s="118">
        <f>IF(ISBLANK(AH66),0,1)</f>
        <v>0</v>
      </c>
      <c r="AP66" s="16" t="s">
        <v>81</v>
      </c>
      <c r="AQ66" s="16"/>
      <c r="AR66" s="16"/>
      <c r="AU66" s="30"/>
      <c r="AX66" s="31"/>
      <c r="AY66" s="31"/>
      <c r="AZ66" s="31"/>
      <c r="BA66" s="31"/>
      <c r="BB66" s="31"/>
      <c r="BC66" s="31"/>
      <c r="BD66" s="31"/>
      <c r="BE66" s="31"/>
      <c r="BF66" s="31"/>
    </row>
    <row r="67" spans="1:58" ht="15" customHeight="1" x14ac:dyDescent="0.3">
      <c r="C67" s="2"/>
      <c r="D67" s="2" t="s">
        <v>47</v>
      </c>
      <c r="E67" s="225">
        <f>'Form 2B.1 - Design'!W86</f>
        <v>0</v>
      </c>
      <c r="F67" s="225"/>
      <c r="G67" s="225"/>
      <c r="H67" s="34" t="s">
        <v>44</v>
      </c>
      <c r="N67" s="2" t="s">
        <v>120</v>
      </c>
      <c r="O67" s="225">
        <f>'Form 2B.1 - Design'!AF86</f>
        <v>0</v>
      </c>
      <c r="P67" s="225"/>
      <c r="Q67" s="225"/>
      <c r="R67" s="34" t="s">
        <v>44</v>
      </c>
      <c r="U67" s="71"/>
      <c r="X67" s="2" t="s">
        <v>47</v>
      </c>
      <c r="Y67" s="170"/>
      <c r="Z67" s="170"/>
      <c r="AA67" s="170"/>
      <c r="AB67" s="34" t="s">
        <v>44</v>
      </c>
      <c r="AG67" s="2" t="s">
        <v>120</v>
      </c>
      <c r="AH67" s="170"/>
      <c r="AI67" s="170"/>
      <c r="AJ67" s="170"/>
      <c r="AK67" s="34" t="s">
        <v>44</v>
      </c>
      <c r="AM67" s="118">
        <f>IF(ISBLANK(Y67),0,1)</f>
        <v>0</v>
      </c>
      <c r="AN67" s="16" t="s">
        <v>82</v>
      </c>
      <c r="AO67" s="118">
        <f>IF(ISBLANK(AH67),0,1)</f>
        <v>0</v>
      </c>
      <c r="AP67" s="16" t="s">
        <v>83</v>
      </c>
      <c r="AQ67" s="16"/>
      <c r="AR67" s="16"/>
      <c r="AU67" s="30"/>
      <c r="AX67" s="31"/>
    </row>
    <row r="68" spans="1:58" ht="4.95" customHeight="1" x14ac:dyDescent="0.3">
      <c r="B68" s="2"/>
      <c r="C68" s="2"/>
      <c r="D68" s="2"/>
      <c r="E68" s="2"/>
      <c r="F68" s="2"/>
      <c r="G68" s="2"/>
      <c r="H68" s="38"/>
      <c r="M68" s="2"/>
      <c r="N68" s="38"/>
      <c r="O68" s="38"/>
      <c r="P68" s="38"/>
      <c r="U68" s="2"/>
      <c r="V68" s="2"/>
      <c r="W68" s="38"/>
      <c r="X68" s="38"/>
      <c r="Y68" s="38"/>
      <c r="AD68" s="2"/>
      <c r="AE68" s="38"/>
      <c r="AF68" s="38"/>
      <c r="AG68" s="38"/>
      <c r="AM68" s="121"/>
      <c r="AO68" s="127"/>
      <c r="AU68" s="34"/>
      <c r="AX68" s="31"/>
    </row>
    <row r="69" spans="1:58" s="5" customFormat="1" ht="15" customHeight="1" x14ac:dyDescent="0.3">
      <c r="A69" s="223" t="s">
        <v>16</v>
      </c>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121"/>
      <c r="AN69" s="121"/>
      <c r="AO69" s="121"/>
      <c r="AP69" s="18"/>
      <c r="AQ69" s="18"/>
      <c r="AR69" s="18"/>
      <c r="AS69" s="18"/>
      <c r="AX69" s="31"/>
    </row>
    <row r="70" spans="1:58" ht="15" customHeight="1" x14ac:dyDescent="0.3">
      <c r="B70" s="1" t="s">
        <v>57</v>
      </c>
      <c r="C70" s="1"/>
      <c r="D70" s="1"/>
      <c r="E70" s="1"/>
      <c r="F70" s="1"/>
      <c r="H70" s="41" t="s">
        <v>48</v>
      </c>
      <c r="I70" s="233">
        <f>'Form 2B.1 - Design'!O88</f>
        <v>0</v>
      </c>
      <c r="J70" s="233"/>
      <c r="K70" s="233"/>
      <c r="L70" s="233"/>
      <c r="O70" s="68"/>
      <c r="P70" s="68"/>
      <c r="Q70" s="1"/>
      <c r="R70" s="1"/>
      <c r="S70" s="1"/>
      <c r="U70" s="36"/>
      <c r="V70" s="1" t="s">
        <v>58</v>
      </c>
      <c r="W70" s="1"/>
      <c r="X70" s="1"/>
      <c r="Y70" s="42"/>
      <c r="AA70" s="41"/>
      <c r="AC70" s="41" t="s">
        <v>48</v>
      </c>
      <c r="AD70" s="190"/>
      <c r="AE70" s="190"/>
      <c r="AF70" s="190"/>
      <c r="AG70" s="190"/>
      <c r="AH70" s="42"/>
      <c r="AI70" s="42"/>
      <c r="AJ70" s="42"/>
      <c r="AK70" s="42"/>
      <c r="AM70" s="118">
        <f>IF(ISBLANK(AD70),0,1)</f>
        <v>0</v>
      </c>
      <c r="AN70" s="16" t="s">
        <v>154</v>
      </c>
      <c r="AX70" s="31"/>
    </row>
    <row r="71" spans="1:58" ht="15" customHeight="1" x14ac:dyDescent="0.3">
      <c r="B71" s="1"/>
      <c r="C71" s="1"/>
      <c r="D71" s="1"/>
      <c r="E71" s="1"/>
      <c r="F71" s="1"/>
      <c r="H71" s="2" t="s">
        <v>49</v>
      </c>
      <c r="I71" s="234">
        <f>'Form 2B.1 - Design'!W88</f>
        <v>0</v>
      </c>
      <c r="J71" s="234"/>
      <c r="K71" s="234"/>
      <c r="L71" s="234"/>
      <c r="O71" s="68"/>
      <c r="P71" s="68"/>
      <c r="Q71" s="43"/>
      <c r="U71" s="71"/>
      <c r="AA71" s="2"/>
      <c r="AC71" s="2" t="s">
        <v>49</v>
      </c>
      <c r="AD71" s="235"/>
      <c r="AE71" s="235"/>
      <c r="AF71" s="235"/>
      <c r="AG71" s="235"/>
      <c r="AM71" s="118">
        <f>IF(ISBLANK(AD71),0,1)</f>
        <v>0</v>
      </c>
      <c r="AN71" s="16" t="s">
        <v>155</v>
      </c>
      <c r="AO71" s="118">
        <f>SUM(AM70:AM71)</f>
        <v>0</v>
      </c>
      <c r="AP71" s="16" t="s">
        <v>156</v>
      </c>
      <c r="AQ71" s="16"/>
      <c r="AR71" s="16"/>
      <c r="AX71" s="31"/>
    </row>
    <row r="72" spans="1:58" ht="4.95" customHeight="1" x14ac:dyDescent="0.3">
      <c r="B72" s="1"/>
      <c r="C72" s="1"/>
      <c r="D72" s="1"/>
      <c r="E72" s="1"/>
      <c r="F72" s="1"/>
      <c r="G72" s="1"/>
      <c r="J72" s="2"/>
      <c r="K72" s="2"/>
      <c r="L72" s="2"/>
      <c r="M72" s="43"/>
      <c r="N72" s="43"/>
      <c r="O72" s="43"/>
      <c r="P72" s="43"/>
      <c r="Q72" s="43"/>
      <c r="U72" s="2"/>
      <c r="Z72" s="2"/>
      <c r="AA72" s="2"/>
      <c r="AB72" s="2"/>
      <c r="AC72" s="43"/>
      <c r="AD72" s="43"/>
      <c r="AE72" s="43"/>
      <c r="AF72" s="43"/>
      <c r="AO72" s="127"/>
      <c r="AX72" s="31"/>
    </row>
    <row r="73" spans="1:58" ht="15" customHeight="1" x14ac:dyDescent="0.3">
      <c r="A73" s="222" t="s">
        <v>59</v>
      </c>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O73" s="129"/>
    </row>
    <row r="74" spans="1:58" ht="15" customHeight="1" x14ac:dyDescent="0.3">
      <c r="B74" s="1" t="s">
        <v>57</v>
      </c>
      <c r="C74" s="1"/>
      <c r="D74" s="1"/>
      <c r="E74" s="1"/>
      <c r="F74" s="1"/>
      <c r="I74" s="37" t="s">
        <v>60</v>
      </c>
      <c r="J74" s="230">
        <f>'Form 2B.1 - Design'!W25</f>
        <v>0</v>
      </c>
      <c r="K74" s="230"/>
      <c r="L74" s="230"/>
      <c r="M74" s="167" t="s">
        <v>39</v>
      </c>
      <c r="N74" s="167"/>
      <c r="U74" s="36"/>
      <c r="V74" s="1" t="s">
        <v>58</v>
      </c>
      <c r="W74" s="1"/>
      <c r="X74" s="1"/>
      <c r="AC74" s="37" t="s">
        <v>61</v>
      </c>
      <c r="AD74" s="191"/>
      <c r="AE74" s="191"/>
      <c r="AF74" s="191"/>
      <c r="AG74" s="167" t="s">
        <v>39</v>
      </c>
      <c r="AH74" s="167"/>
      <c r="AN74" s="16" t="s">
        <v>159</v>
      </c>
      <c r="AO74" s="118">
        <f>IF(OR(AD74&gt;J74,AD74=J74),1,2)</f>
        <v>1</v>
      </c>
    </row>
    <row r="75" spans="1:58" ht="15" customHeight="1" x14ac:dyDescent="0.3">
      <c r="B75" s="1"/>
      <c r="C75" s="1"/>
      <c r="D75" s="1"/>
      <c r="E75" s="1"/>
      <c r="F75" s="1"/>
      <c r="I75" s="37" t="s">
        <v>307</v>
      </c>
      <c r="J75" s="231">
        <f>'Form 2B.1 - Design'!AC102</f>
        <v>0</v>
      </c>
      <c r="K75" s="231"/>
      <c r="L75" s="231"/>
      <c r="V75" s="1"/>
      <c r="W75" s="1"/>
      <c r="X75" s="1"/>
      <c r="AC75" s="37" t="s">
        <v>307</v>
      </c>
      <c r="AD75" s="170"/>
      <c r="AE75" s="170"/>
      <c r="AF75" s="170"/>
      <c r="AO75" s="118">
        <f>IF(OR(J74=0,ISBLANK(AD74)),2,1)</f>
        <v>2</v>
      </c>
    </row>
    <row r="76" spans="1:58" ht="4.95" customHeight="1" x14ac:dyDescent="0.3">
      <c r="B76" s="1"/>
      <c r="C76" s="1"/>
      <c r="D76" s="1"/>
      <c r="E76" s="1"/>
      <c r="F76" s="1"/>
      <c r="G76" s="1"/>
      <c r="H76" s="1"/>
      <c r="M76" s="37"/>
      <c r="N76" s="7"/>
      <c r="O76" s="7"/>
      <c r="P76" s="7"/>
      <c r="U76" s="2"/>
      <c r="V76" s="37"/>
      <c r="W76" s="42"/>
      <c r="X76" s="42"/>
      <c r="Y76" s="42"/>
      <c r="AD76" s="37"/>
      <c r="AE76" s="44"/>
      <c r="AF76" s="44"/>
      <c r="AG76" s="44"/>
      <c r="AU76" s="45"/>
      <c r="AV76" s="5"/>
      <c r="AW76" s="5"/>
      <c r="AX76" s="5"/>
    </row>
    <row r="77" spans="1:58" ht="15" customHeight="1" x14ac:dyDescent="0.3">
      <c r="A77" s="222" t="s">
        <v>456</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121"/>
      <c r="AN77" s="123"/>
    </row>
    <row r="78" spans="1:58" ht="15" customHeight="1" x14ac:dyDescent="0.3">
      <c r="B78" s="1" t="s">
        <v>57</v>
      </c>
      <c r="C78" s="1"/>
      <c r="D78" s="1"/>
      <c r="E78" s="1"/>
      <c r="F78" s="1"/>
      <c r="H78" s="1"/>
      <c r="U78" s="36"/>
      <c r="V78" s="1" t="s">
        <v>58</v>
      </c>
      <c r="X78" s="1"/>
      <c r="Y78" s="1"/>
      <c r="AM78" s="18" t="s">
        <v>370</v>
      </c>
      <c r="AN78" s="16" t="s">
        <v>18</v>
      </c>
      <c r="AO78" s="18" t="str" cm="1">
        <f t="array" ref="AO78:AP78">'Form 2B.1 - Design'!K92:L92</f>
        <v>Units?</v>
      </c>
      <c r="AP78" s="18">
        <v>0</v>
      </c>
    </row>
    <row r="79" spans="1:58" ht="15" customHeight="1" x14ac:dyDescent="0.3">
      <c r="C79" s="4" t="s">
        <v>17</v>
      </c>
      <c r="G79" s="185" t="s">
        <v>18</v>
      </c>
      <c r="H79" s="185"/>
      <c r="I79" s="185"/>
      <c r="J79" s="185"/>
      <c r="K79" s="4"/>
      <c r="M79" s="34" t="s">
        <v>52</v>
      </c>
      <c r="U79" s="71"/>
      <c r="W79" s="4" t="s">
        <v>17</v>
      </c>
      <c r="X79" s="4"/>
      <c r="Y79" s="4"/>
      <c r="AA79" s="185" t="s">
        <v>18</v>
      </c>
      <c r="AB79" s="185"/>
      <c r="AC79" s="185"/>
      <c r="AD79" s="185"/>
      <c r="AG79" s="34" t="s">
        <v>52</v>
      </c>
      <c r="AM79" s="18">
        <f>IF(AO78="Units?",2,1)</f>
        <v>2</v>
      </c>
      <c r="AN79" s="16" t="s">
        <v>371</v>
      </c>
      <c r="AO79" s="18" t="str" cm="1">
        <f t="array" ref="AO79:AP79">'Form 2B.1 - Design'!Q92:R92</f>
        <v>Units?</v>
      </c>
      <c r="AP79" s="18">
        <v>0</v>
      </c>
    </row>
    <row r="80" spans="1:58" ht="15" customHeight="1" x14ac:dyDescent="0.3">
      <c r="B80" s="241">
        <f>'Form 2B.1 - Design'!C92</f>
        <v>0</v>
      </c>
      <c r="C80" s="241"/>
      <c r="D80" s="241"/>
      <c r="E80" s="34" t="s">
        <v>44</v>
      </c>
      <c r="G80" s="229">
        <f>'Form 2B.1 - Design'!H92</f>
        <v>0</v>
      </c>
      <c r="H80" s="229"/>
      <c r="I80" s="229"/>
      <c r="J80" s="229"/>
      <c r="K80" s="167" t="str">
        <f>$AO$78</f>
        <v>Units?</v>
      </c>
      <c r="L80" s="167"/>
      <c r="M80" s="229">
        <f>'Form 2B.1 - Design'!M92</f>
        <v>0</v>
      </c>
      <c r="N80" s="229"/>
      <c r="O80" s="229"/>
      <c r="P80" s="229"/>
      <c r="Q80" s="167" t="str">
        <f>$AO$79</f>
        <v>Units?</v>
      </c>
      <c r="R80" s="167"/>
      <c r="U80" s="71"/>
      <c r="V80" s="164"/>
      <c r="W80" s="164"/>
      <c r="X80" s="164"/>
      <c r="Y80" s="34" t="s">
        <v>44</v>
      </c>
      <c r="AA80" s="191"/>
      <c r="AB80" s="191"/>
      <c r="AC80" s="191"/>
      <c r="AD80" s="191"/>
      <c r="AE80" s="167" t="str">
        <f>$AO$78</f>
        <v>Units?</v>
      </c>
      <c r="AF80" s="167"/>
      <c r="AG80" s="191"/>
      <c r="AH80" s="191"/>
      <c r="AI80" s="191"/>
      <c r="AJ80" s="191"/>
      <c r="AK80" s="167" t="str">
        <f>$AO$79</f>
        <v>Units?</v>
      </c>
      <c r="AL80" s="167"/>
      <c r="AM80" s="118">
        <f>IF(ISBLANK(AA80),0,1)</f>
        <v>0</v>
      </c>
      <c r="AN80" s="116">
        <f>IF(ISBLANK(AG80),0,1)</f>
        <v>0</v>
      </c>
      <c r="AO80" s="118">
        <f t="shared" ref="AO80:AO99" si="2">IF(ISBLANK(V80),1,2)</f>
        <v>1</v>
      </c>
    </row>
    <row r="81" spans="2:41" ht="15" customHeight="1" x14ac:dyDescent="0.3">
      <c r="B81" s="237">
        <f>'Form 2B.1 - Design'!C93</f>
        <v>0</v>
      </c>
      <c r="C81" s="237"/>
      <c r="D81" s="237"/>
      <c r="E81" s="34" t="s">
        <v>44</v>
      </c>
      <c r="G81" s="219">
        <f>'Form 2B.1 - Design'!H93</f>
        <v>0</v>
      </c>
      <c r="H81" s="219"/>
      <c r="I81" s="219"/>
      <c r="J81" s="219"/>
      <c r="K81" s="167" t="str">
        <f t="shared" ref="K81:K99" si="3">$AO$78</f>
        <v>Units?</v>
      </c>
      <c r="L81" s="167"/>
      <c r="M81" s="229">
        <f>'Form 2B.1 - Design'!M93</f>
        <v>0</v>
      </c>
      <c r="N81" s="229"/>
      <c r="O81" s="229"/>
      <c r="P81" s="229"/>
      <c r="Q81" s="167" t="str">
        <f t="shared" ref="Q81:Q99" si="4">$AO$79</f>
        <v>Units?</v>
      </c>
      <c r="R81" s="167"/>
      <c r="U81" s="71"/>
      <c r="V81" s="170"/>
      <c r="W81" s="170"/>
      <c r="X81" s="170"/>
      <c r="Y81" s="34" t="s">
        <v>44</v>
      </c>
      <c r="AA81" s="166"/>
      <c r="AB81" s="166"/>
      <c r="AC81" s="166"/>
      <c r="AD81" s="166"/>
      <c r="AE81" s="167" t="str">
        <f t="shared" ref="AE81:AE99" si="5">$AO$78</f>
        <v>Units?</v>
      </c>
      <c r="AF81" s="167"/>
      <c r="AG81" s="166"/>
      <c r="AH81" s="166"/>
      <c r="AI81" s="166"/>
      <c r="AJ81" s="166"/>
      <c r="AK81" s="167" t="str">
        <f t="shared" ref="AK81:AK99" si="6">$AO$79</f>
        <v>Units?</v>
      </c>
      <c r="AL81" s="167"/>
      <c r="AO81" s="118">
        <f t="shared" si="2"/>
        <v>1</v>
      </c>
    </row>
    <row r="82" spans="2:41" ht="15" customHeight="1" x14ac:dyDescent="0.3">
      <c r="B82" s="237">
        <f>'Form 2B.1 - Design'!C94</f>
        <v>0</v>
      </c>
      <c r="C82" s="237"/>
      <c r="D82" s="237"/>
      <c r="E82" s="34" t="s">
        <v>44</v>
      </c>
      <c r="G82" s="219">
        <f>'Form 2B.1 - Design'!H94</f>
        <v>0</v>
      </c>
      <c r="H82" s="219"/>
      <c r="I82" s="219"/>
      <c r="J82" s="219"/>
      <c r="K82" s="167" t="str">
        <f t="shared" si="3"/>
        <v>Units?</v>
      </c>
      <c r="L82" s="167"/>
      <c r="M82" s="229">
        <f>'Form 2B.1 - Design'!M94</f>
        <v>0</v>
      </c>
      <c r="N82" s="229"/>
      <c r="O82" s="229"/>
      <c r="P82" s="229"/>
      <c r="Q82" s="167" t="str">
        <f t="shared" si="4"/>
        <v>Units?</v>
      </c>
      <c r="R82" s="167"/>
      <c r="U82" s="71"/>
      <c r="V82" s="170"/>
      <c r="W82" s="170"/>
      <c r="X82" s="170"/>
      <c r="Y82" s="34" t="s">
        <v>44</v>
      </c>
      <c r="AA82" s="166"/>
      <c r="AB82" s="166"/>
      <c r="AC82" s="166"/>
      <c r="AD82" s="166"/>
      <c r="AE82" s="167" t="str">
        <f t="shared" si="5"/>
        <v>Units?</v>
      </c>
      <c r="AF82" s="167"/>
      <c r="AG82" s="166"/>
      <c r="AH82" s="166"/>
      <c r="AI82" s="166"/>
      <c r="AJ82" s="166"/>
      <c r="AK82" s="167" t="str">
        <f t="shared" si="6"/>
        <v>Units?</v>
      </c>
      <c r="AL82" s="167"/>
      <c r="AO82" s="118">
        <f t="shared" si="2"/>
        <v>1</v>
      </c>
    </row>
    <row r="83" spans="2:41" ht="15" customHeight="1" x14ac:dyDescent="0.3">
      <c r="B83" s="237">
        <f>'Form 2B.1 - Design'!C95</f>
        <v>0</v>
      </c>
      <c r="C83" s="237"/>
      <c r="D83" s="237"/>
      <c r="E83" s="34" t="s">
        <v>44</v>
      </c>
      <c r="G83" s="219">
        <f>'Form 2B.1 - Design'!H95</f>
        <v>0</v>
      </c>
      <c r="H83" s="219"/>
      <c r="I83" s="219"/>
      <c r="J83" s="219"/>
      <c r="K83" s="167" t="str">
        <f t="shared" si="3"/>
        <v>Units?</v>
      </c>
      <c r="L83" s="167"/>
      <c r="M83" s="229">
        <f>'Form 2B.1 - Design'!M95</f>
        <v>0</v>
      </c>
      <c r="N83" s="229"/>
      <c r="O83" s="229"/>
      <c r="P83" s="229"/>
      <c r="Q83" s="167" t="str">
        <f t="shared" si="4"/>
        <v>Units?</v>
      </c>
      <c r="R83" s="167"/>
      <c r="U83" s="71"/>
      <c r="V83" s="170"/>
      <c r="W83" s="170"/>
      <c r="X83" s="170"/>
      <c r="Y83" s="34" t="s">
        <v>44</v>
      </c>
      <c r="AA83" s="166"/>
      <c r="AB83" s="166"/>
      <c r="AC83" s="166"/>
      <c r="AD83" s="166"/>
      <c r="AE83" s="167" t="str">
        <f t="shared" si="5"/>
        <v>Units?</v>
      </c>
      <c r="AF83" s="167"/>
      <c r="AG83" s="166"/>
      <c r="AH83" s="166"/>
      <c r="AI83" s="166"/>
      <c r="AJ83" s="166"/>
      <c r="AK83" s="167" t="str">
        <f t="shared" si="6"/>
        <v>Units?</v>
      </c>
      <c r="AL83" s="167"/>
      <c r="AO83" s="118">
        <f t="shared" si="2"/>
        <v>1</v>
      </c>
    </row>
    <row r="84" spans="2:41" ht="15" customHeight="1" x14ac:dyDescent="0.3">
      <c r="B84" s="237">
        <f>'Form 2B.1 - Design'!C96</f>
        <v>0</v>
      </c>
      <c r="C84" s="237"/>
      <c r="D84" s="237"/>
      <c r="E84" s="34" t="s">
        <v>44</v>
      </c>
      <c r="G84" s="219">
        <f>'Form 2B.1 - Design'!H96</f>
        <v>0</v>
      </c>
      <c r="H84" s="219"/>
      <c r="I84" s="219"/>
      <c r="J84" s="219"/>
      <c r="K84" s="167" t="str">
        <f t="shared" si="3"/>
        <v>Units?</v>
      </c>
      <c r="L84" s="167"/>
      <c r="M84" s="229">
        <f>'Form 2B.1 - Design'!M96</f>
        <v>0</v>
      </c>
      <c r="N84" s="229"/>
      <c r="O84" s="229"/>
      <c r="P84" s="229"/>
      <c r="Q84" s="167" t="str">
        <f t="shared" si="4"/>
        <v>Units?</v>
      </c>
      <c r="R84" s="167"/>
      <c r="U84" s="71"/>
      <c r="V84" s="170"/>
      <c r="W84" s="170"/>
      <c r="X84" s="170"/>
      <c r="Y84" s="34" t="s">
        <v>44</v>
      </c>
      <c r="AA84" s="166"/>
      <c r="AB84" s="166"/>
      <c r="AC84" s="166"/>
      <c r="AD84" s="166"/>
      <c r="AE84" s="167" t="str">
        <f t="shared" si="5"/>
        <v>Units?</v>
      </c>
      <c r="AF84" s="167"/>
      <c r="AG84" s="166"/>
      <c r="AH84" s="166"/>
      <c r="AI84" s="166"/>
      <c r="AJ84" s="166"/>
      <c r="AK84" s="167" t="str">
        <f t="shared" si="6"/>
        <v>Units?</v>
      </c>
      <c r="AL84" s="167"/>
      <c r="AO84" s="118">
        <f t="shared" si="2"/>
        <v>1</v>
      </c>
    </row>
    <row r="85" spans="2:41" ht="15" customHeight="1" x14ac:dyDescent="0.3">
      <c r="B85" s="237">
        <f>'Form 2B.1 - Design'!C97</f>
        <v>0</v>
      </c>
      <c r="C85" s="237"/>
      <c r="D85" s="237"/>
      <c r="E85" s="34" t="s">
        <v>44</v>
      </c>
      <c r="G85" s="219">
        <f>'Form 2B.1 - Design'!H97</f>
        <v>0</v>
      </c>
      <c r="H85" s="219"/>
      <c r="I85" s="219"/>
      <c r="J85" s="219"/>
      <c r="K85" s="167" t="str">
        <f t="shared" si="3"/>
        <v>Units?</v>
      </c>
      <c r="L85" s="167"/>
      <c r="M85" s="229">
        <f>'Form 2B.1 - Design'!M97</f>
        <v>0</v>
      </c>
      <c r="N85" s="229"/>
      <c r="O85" s="229"/>
      <c r="P85" s="229"/>
      <c r="Q85" s="167" t="str">
        <f t="shared" si="4"/>
        <v>Units?</v>
      </c>
      <c r="R85" s="167"/>
      <c r="U85" s="71"/>
      <c r="V85" s="170"/>
      <c r="W85" s="170"/>
      <c r="X85" s="170"/>
      <c r="Y85" s="34" t="s">
        <v>44</v>
      </c>
      <c r="AA85" s="166"/>
      <c r="AB85" s="166"/>
      <c r="AC85" s="166"/>
      <c r="AD85" s="166"/>
      <c r="AE85" s="167" t="str">
        <f t="shared" si="5"/>
        <v>Units?</v>
      </c>
      <c r="AF85" s="167"/>
      <c r="AG85" s="166"/>
      <c r="AH85" s="166"/>
      <c r="AI85" s="166"/>
      <c r="AJ85" s="166"/>
      <c r="AK85" s="167" t="str">
        <f t="shared" si="6"/>
        <v>Units?</v>
      </c>
      <c r="AL85" s="167"/>
      <c r="AO85" s="118">
        <f t="shared" si="2"/>
        <v>1</v>
      </c>
    </row>
    <row r="86" spans="2:41" ht="15" customHeight="1" x14ac:dyDescent="0.3">
      <c r="B86" s="237">
        <f>'Form 2B.1 - Design'!C98</f>
        <v>0</v>
      </c>
      <c r="C86" s="237"/>
      <c r="D86" s="237"/>
      <c r="E86" s="34" t="s">
        <v>44</v>
      </c>
      <c r="G86" s="219">
        <f>'Form 2B.1 - Design'!H98</f>
        <v>0</v>
      </c>
      <c r="H86" s="219"/>
      <c r="I86" s="219"/>
      <c r="J86" s="219"/>
      <c r="K86" s="167" t="str">
        <f t="shared" si="3"/>
        <v>Units?</v>
      </c>
      <c r="L86" s="167"/>
      <c r="M86" s="229"/>
      <c r="N86" s="229"/>
      <c r="O86" s="229"/>
      <c r="P86" s="229"/>
      <c r="Q86" s="167" t="str">
        <f t="shared" si="4"/>
        <v>Units?</v>
      </c>
      <c r="R86" s="167"/>
      <c r="U86" s="71"/>
      <c r="V86" s="170"/>
      <c r="W86" s="170"/>
      <c r="X86" s="170"/>
      <c r="Y86" s="34" t="s">
        <v>44</v>
      </c>
      <c r="AA86" s="166"/>
      <c r="AB86" s="166"/>
      <c r="AC86" s="166"/>
      <c r="AD86" s="166"/>
      <c r="AE86" s="167" t="str">
        <f t="shared" si="5"/>
        <v>Units?</v>
      </c>
      <c r="AF86" s="167"/>
      <c r="AG86" s="166"/>
      <c r="AH86" s="166"/>
      <c r="AI86" s="166"/>
      <c r="AJ86" s="166"/>
      <c r="AK86" s="167" t="str">
        <f t="shared" si="6"/>
        <v>Units?</v>
      </c>
      <c r="AL86" s="167"/>
      <c r="AO86" s="118">
        <f t="shared" si="2"/>
        <v>1</v>
      </c>
    </row>
    <row r="87" spans="2:41" ht="15" customHeight="1" x14ac:dyDescent="0.3">
      <c r="B87" s="237">
        <f>'Form 2B.1 - Design'!C99</f>
        <v>0</v>
      </c>
      <c r="C87" s="237"/>
      <c r="D87" s="237"/>
      <c r="E87" s="34" t="s">
        <v>44</v>
      </c>
      <c r="G87" s="219">
        <f>'Form 2B.1 - Design'!H99</f>
        <v>0</v>
      </c>
      <c r="H87" s="219"/>
      <c r="I87" s="219"/>
      <c r="J87" s="219"/>
      <c r="K87" s="167" t="str">
        <f t="shared" si="3"/>
        <v>Units?</v>
      </c>
      <c r="L87" s="167"/>
      <c r="M87" s="229">
        <f>'Form 2B.1 - Design'!M99</f>
        <v>0</v>
      </c>
      <c r="N87" s="229"/>
      <c r="O87" s="229"/>
      <c r="P87" s="229"/>
      <c r="Q87" s="167" t="str">
        <f t="shared" si="4"/>
        <v>Units?</v>
      </c>
      <c r="R87" s="167"/>
      <c r="U87" s="71"/>
      <c r="V87" s="170"/>
      <c r="W87" s="170"/>
      <c r="X87" s="170"/>
      <c r="Y87" s="34" t="s">
        <v>44</v>
      </c>
      <c r="AA87" s="166"/>
      <c r="AB87" s="166"/>
      <c r="AC87" s="166"/>
      <c r="AD87" s="166"/>
      <c r="AE87" s="167" t="str">
        <f t="shared" si="5"/>
        <v>Units?</v>
      </c>
      <c r="AF87" s="167"/>
      <c r="AG87" s="166"/>
      <c r="AH87" s="166"/>
      <c r="AI87" s="166"/>
      <c r="AJ87" s="166"/>
      <c r="AK87" s="167" t="str">
        <f t="shared" si="6"/>
        <v>Units?</v>
      </c>
      <c r="AL87" s="167"/>
      <c r="AO87" s="118">
        <f t="shared" si="2"/>
        <v>1</v>
      </c>
    </row>
    <row r="88" spans="2:41" ht="15" customHeight="1" x14ac:dyDescent="0.3">
      <c r="B88" s="237">
        <f>'Form 2B.1 - Design'!C100</f>
        <v>0</v>
      </c>
      <c r="C88" s="237"/>
      <c r="D88" s="237"/>
      <c r="E88" s="34" t="s">
        <v>44</v>
      </c>
      <c r="G88" s="219">
        <f>'Form 2B.1 - Design'!H100</f>
        <v>0</v>
      </c>
      <c r="H88" s="219"/>
      <c r="I88" s="219"/>
      <c r="J88" s="219"/>
      <c r="K88" s="167" t="str">
        <f t="shared" si="3"/>
        <v>Units?</v>
      </c>
      <c r="L88" s="167"/>
      <c r="M88" s="229"/>
      <c r="N88" s="229"/>
      <c r="O88" s="229"/>
      <c r="P88" s="229"/>
      <c r="Q88" s="167" t="str">
        <f t="shared" si="4"/>
        <v>Units?</v>
      </c>
      <c r="R88" s="167"/>
      <c r="U88" s="71"/>
      <c r="V88" s="170"/>
      <c r="W88" s="170"/>
      <c r="X88" s="170"/>
      <c r="Y88" s="34" t="s">
        <v>44</v>
      </c>
      <c r="AA88" s="166"/>
      <c r="AB88" s="166"/>
      <c r="AC88" s="166"/>
      <c r="AD88" s="166"/>
      <c r="AE88" s="167" t="str">
        <f t="shared" si="5"/>
        <v>Units?</v>
      </c>
      <c r="AF88" s="167"/>
      <c r="AG88" s="166"/>
      <c r="AH88" s="166"/>
      <c r="AI88" s="166"/>
      <c r="AJ88" s="166"/>
      <c r="AK88" s="167" t="str">
        <f t="shared" si="6"/>
        <v>Units?</v>
      </c>
      <c r="AL88" s="167"/>
      <c r="AO88" s="118">
        <f t="shared" si="2"/>
        <v>1</v>
      </c>
    </row>
    <row r="89" spans="2:41" ht="15" customHeight="1" x14ac:dyDescent="0.3">
      <c r="B89" s="237">
        <f>'Form 2B.1 - Design'!C101</f>
        <v>0</v>
      </c>
      <c r="C89" s="237"/>
      <c r="D89" s="237"/>
      <c r="E89" s="34" t="s">
        <v>44</v>
      </c>
      <c r="G89" s="219">
        <f>'Form 2B.1 - Design'!H101</f>
        <v>0</v>
      </c>
      <c r="H89" s="219"/>
      <c r="I89" s="219"/>
      <c r="J89" s="219"/>
      <c r="K89" s="167" t="str">
        <f t="shared" si="3"/>
        <v>Units?</v>
      </c>
      <c r="L89" s="167"/>
      <c r="M89" s="229">
        <f>'Form 2B.1 - Design'!M101</f>
        <v>0</v>
      </c>
      <c r="N89" s="229"/>
      <c r="O89" s="229"/>
      <c r="P89" s="229"/>
      <c r="Q89" s="167" t="str">
        <f t="shared" si="4"/>
        <v>Units?</v>
      </c>
      <c r="R89" s="167"/>
      <c r="U89" s="71"/>
      <c r="V89" s="170"/>
      <c r="W89" s="170"/>
      <c r="X89" s="170"/>
      <c r="Y89" s="34" t="s">
        <v>44</v>
      </c>
      <c r="AA89" s="166"/>
      <c r="AB89" s="166"/>
      <c r="AC89" s="166"/>
      <c r="AD89" s="166"/>
      <c r="AE89" s="167" t="str">
        <f t="shared" si="5"/>
        <v>Units?</v>
      </c>
      <c r="AF89" s="167"/>
      <c r="AG89" s="166"/>
      <c r="AH89" s="166"/>
      <c r="AI89" s="166"/>
      <c r="AJ89" s="166"/>
      <c r="AK89" s="167" t="str">
        <f t="shared" si="6"/>
        <v>Units?</v>
      </c>
      <c r="AL89" s="167"/>
      <c r="AO89" s="118">
        <f t="shared" si="2"/>
        <v>1</v>
      </c>
    </row>
    <row r="90" spans="2:41" ht="15" customHeight="1" x14ac:dyDescent="0.3">
      <c r="B90" s="237">
        <f>'Form 2B.1 - Design'!S92</f>
        <v>0</v>
      </c>
      <c r="C90" s="237"/>
      <c r="D90" s="237"/>
      <c r="E90" s="34" t="s">
        <v>44</v>
      </c>
      <c r="G90" s="219">
        <f>'Form 2B.1 - Design'!X92</f>
        <v>0</v>
      </c>
      <c r="H90" s="219"/>
      <c r="I90" s="219"/>
      <c r="J90" s="219"/>
      <c r="K90" s="167" t="str">
        <f t="shared" si="3"/>
        <v>Units?</v>
      </c>
      <c r="L90" s="167"/>
      <c r="M90" s="229">
        <f>'Form 2B.1 - Design'!AC92</f>
        <v>0</v>
      </c>
      <c r="N90" s="229"/>
      <c r="O90" s="229"/>
      <c r="P90" s="229"/>
      <c r="Q90" s="167" t="str">
        <f t="shared" si="4"/>
        <v>Units?</v>
      </c>
      <c r="R90" s="167"/>
      <c r="U90" s="71"/>
      <c r="V90" s="170"/>
      <c r="W90" s="170"/>
      <c r="X90" s="170"/>
      <c r="Y90" s="34" t="s">
        <v>44</v>
      </c>
      <c r="AA90" s="166"/>
      <c r="AB90" s="166"/>
      <c r="AC90" s="166"/>
      <c r="AD90" s="166"/>
      <c r="AE90" s="167" t="str">
        <f t="shared" si="5"/>
        <v>Units?</v>
      </c>
      <c r="AF90" s="167"/>
      <c r="AG90" s="166"/>
      <c r="AH90" s="166"/>
      <c r="AI90" s="166"/>
      <c r="AJ90" s="166"/>
      <c r="AK90" s="167" t="str">
        <f t="shared" si="6"/>
        <v>Units?</v>
      </c>
      <c r="AL90" s="167"/>
      <c r="AO90" s="118">
        <f t="shared" si="2"/>
        <v>1</v>
      </c>
    </row>
    <row r="91" spans="2:41" ht="15" customHeight="1" x14ac:dyDescent="0.3">
      <c r="B91" s="237">
        <f>'Form 2B.1 - Design'!S93</f>
        <v>0</v>
      </c>
      <c r="C91" s="237"/>
      <c r="D91" s="237"/>
      <c r="E91" s="34" t="s">
        <v>44</v>
      </c>
      <c r="G91" s="219">
        <f>'Form 2B.1 - Design'!X93</f>
        <v>0</v>
      </c>
      <c r="H91" s="219"/>
      <c r="I91" s="219"/>
      <c r="J91" s="219"/>
      <c r="K91" s="167" t="str">
        <f t="shared" si="3"/>
        <v>Units?</v>
      </c>
      <c r="L91" s="167"/>
      <c r="M91" s="229">
        <f>'Form 2B.1 - Design'!AC93</f>
        <v>0</v>
      </c>
      <c r="N91" s="229"/>
      <c r="O91" s="229"/>
      <c r="P91" s="229"/>
      <c r="Q91" s="167" t="str">
        <f t="shared" si="4"/>
        <v>Units?</v>
      </c>
      <c r="R91" s="167"/>
      <c r="U91" s="71"/>
      <c r="V91" s="170"/>
      <c r="W91" s="170"/>
      <c r="X91" s="170"/>
      <c r="Y91" s="34" t="s">
        <v>44</v>
      </c>
      <c r="AA91" s="166"/>
      <c r="AB91" s="166"/>
      <c r="AC91" s="166"/>
      <c r="AD91" s="166"/>
      <c r="AE91" s="167" t="str">
        <f t="shared" si="5"/>
        <v>Units?</v>
      </c>
      <c r="AF91" s="167"/>
      <c r="AG91" s="166"/>
      <c r="AH91" s="166"/>
      <c r="AI91" s="166"/>
      <c r="AJ91" s="166"/>
      <c r="AK91" s="167" t="str">
        <f t="shared" si="6"/>
        <v>Units?</v>
      </c>
      <c r="AL91" s="167"/>
      <c r="AO91" s="118">
        <f t="shared" si="2"/>
        <v>1</v>
      </c>
    </row>
    <row r="92" spans="2:41" ht="15" customHeight="1" x14ac:dyDescent="0.3">
      <c r="B92" s="237">
        <f>'Form 2B.1 - Design'!S94</f>
        <v>0</v>
      </c>
      <c r="C92" s="237"/>
      <c r="D92" s="237"/>
      <c r="E92" s="34" t="s">
        <v>44</v>
      </c>
      <c r="G92" s="219"/>
      <c r="H92" s="219"/>
      <c r="I92" s="219"/>
      <c r="J92" s="219"/>
      <c r="K92" s="167" t="str">
        <f t="shared" si="3"/>
        <v>Units?</v>
      </c>
      <c r="L92" s="167"/>
      <c r="M92" s="229">
        <f>'Form 2B.1 - Design'!AC94</f>
        <v>0</v>
      </c>
      <c r="N92" s="229"/>
      <c r="O92" s="229"/>
      <c r="P92" s="229"/>
      <c r="Q92" s="167" t="str">
        <f t="shared" si="4"/>
        <v>Units?</v>
      </c>
      <c r="R92" s="167"/>
      <c r="U92" s="71"/>
      <c r="V92" s="170"/>
      <c r="W92" s="170"/>
      <c r="X92" s="170"/>
      <c r="Y92" s="34" t="s">
        <v>44</v>
      </c>
      <c r="AA92" s="166"/>
      <c r="AB92" s="166"/>
      <c r="AC92" s="166"/>
      <c r="AD92" s="166"/>
      <c r="AE92" s="167" t="str">
        <f t="shared" si="5"/>
        <v>Units?</v>
      </c>
      <c r="AF92" s="167"/>
      <c r="AG92" s="166"/>
      <c r="AH92" s="166"/>
      <c r="AI92" s="166"/>
      <c r="AJ92" s="166"/>
      <c r="AK92" s="167" t="str">
        <f t="shared" si="6"/>
        <v>Units?</v>
      </c>
      <c r="AL92" s="167"/>
      <c r="AO92" s="118">
        <f t="shared" si="2"/>
        <v>1</v>
      </c>
    </row>
    <row r="93" spans="2:41" ht="15" customHeight="1" x14ac:dyDescent="0.3">
      <c r="B93" s="237">
        <f>'Form 2B.1 - Design'!S95</f>
        <v>0</v>
      </c>
      <c r="C93" s="237"/>
      <c r="D93" s="237"/>
      <c r="E93" s="34" t="s">
        <v>44</v>
      </c>
      <c r="G93" s="219">
        <f>'Form 2B.1 - Design'!X95</f>
        <v>0</v>
      </c>
      <c r="H93" s="219"/>
      <c r="I93" s="219"/>
      <c r="J93" s="219"/>
      <c r="K93" s="167" t="str">
        <f t="shared" si="3"/>
        <v>Units?</v>
      </c>
      <c r="L93" s="167"/>
      <c r="M93" s="229">
        <f>'Form 2B.1 - Design'!AC95</f>
        <v>0</v>
      </c>
      <c r="N93" s="229"/>
      <c r="O93" s="229"/>
      <c r="P93" s="229"/>
      <c r="Q93" s="167" t="str">
        <f t="shared" si="4"/>
        <v>Units?</v>
      </c>
      <c r="R93" s="167"/>
      <c r="U93" s="71"/>
      <c r="V93" s="170"/>
      <c r="W93" s="170"/>
      <c r="X93" s="170"/>
      <c r="Y93" s="34" t="s">
        <v>44</v>
      </c>
      <c r="AA93" s="166"/>
      <c r="AB93" s="166"/>
      <c r="AC93" s="166"/>
      <c r="AD93" s="166"/>
      <c r="AE93" s="167" t="str">
        <f t="shared" si="5"/>
        <v>Units?</v>
      </c>
      <c r="AF93" s="167"/>
      <c r="AG93" s="166"/>
      <c r="AH93" s="166"/>
      <c r="AI93" s="166"/>
      <c r="AJ93" s="166"/>
      <c r="AK93" s="167" t="str">
        <f t="shared" si="6"/>
        <v>Units?</v>
      </c>
      <c r="AL93" s="167"/>
      <c r="AO93" s="118">
        <f t="shared" si="2"/>
        <v>1</v>
      </c>
    </row>
    <row r="94" spans="2:41" ht="15" customHeight="1" x14ac:dyDescent="0.3">
      <c r="B94" s="237">
        <f>'Form 2B.1 - Design'!S96</f>
        <v>0</v>
      </c>
      <c r="C94" s="237"/>
      <c r="D94" s="237"/>
      <c r="E94" s="34" t="s">
        <v>44</v>
      </c>
      <c r="G94" s="219">
        <f>'Form 2B.1 - Design'!X96</f>
        <v>0</v>
      </c>
      <c r="H94" s="219"/>
      <c r="I94" s="219"/>
      <c r="J94" s="219"/>
      <c r="K94" s="167" t="str">
        <f t="shared" si="3"/>
        <v>Units?</v>
      </c>
      <c r="L94" s="167"/>
      <c r="M94" s="229">
        <f>'Form 2B.1 - Design'!AC96</f>
        <v>0</v>
      </c>
      <c r="N94" s="229"/>
      <c r="O94" s="229"/>
      <c r="P94" s="229"/>
      <c r="Q94" s="167" t="str">
        <f t="shared" si="4"/>
        <v>Units?</v>
      </c>
      <c r="R94" s="167"/>
      <c r="U94" s="71"/>
      <c r="V94" s="170"/>
      <c r="W94" s="170"/>
      <c r="X94" s="170"/>
      <c r="Y94" s="34" t="s">
        <v>44</v>
      </c>
      <c r="AA94" s="166"/>
      <c r="AB94" s="166"/>
      <c r="AC94" s="166"/>
      <c r="AD94" s="166"/>
      <c r="AE94" s="167" t="str">
        <f t="shared" si="5"/>
        <v>Units?</v>
      </c>
      <c r="AF94" s="167"/>
      <c r="AG94" s="166"/>
      <c r="AH94" s="166"/>
      <c r="AI94" s="166"/>
      <c r="AJ94" s="166"/>
      <c r="AK94" s="167" t="str">
        <f t="shared" si="6"/>
        <v>Units?</v>
      </c>
      <c r="AL94" s="167"/>
      <c r="AO94" s="118">
        <f t="shared" si="2"/>
        <v>1</v>
      </c>
    </row>
    <row r="95" spans="2:41" ht="15" customHeight="1" x14ac:dyDescent="0.3">
      <c r="B95" s="237">
        <f>'Form 2B.1 - Design'!S97</f>
        <v>0</v>
      </c>
      <c r="C95" s="237"/>
      <c r="D95" s="237"/>
      <c r="E95" s="34" t="s">
        <v>44</v>
      </c>
      <c r="G95" s="219">
        <f>'Form 2B.1 - Design'!X97</f>
        <v>0</v>
      </c>
      <c r="H95" s="219"/>
      <c r="I95" s="219"/>
      <c r="J95" s="219"/>
      <c r="K95" s="167" t="str">
        <f t="shared" si="3"/>
        <v>Units?</v>
      </c>
      <c r="L95" s="167"/>
      <c r="M95" s="229">
        <f>'Form 2B.1 - Design'!AC97</f>
        <v>0</v>
      </c>
      <c r="N95" s="229"/>
      <c r="O95" s="229"/>
      <c r="P95" s="229"/>
      <c r="Q95" s="167" t="str">
        <f t="shared" si="4"/>
        <v>Units?</v>
      </c>
      <c r="R95" s="167"/>
      <c r="U95" s="71"/>
      <c r="V95" s="170"/>
      <c r="W95" s="170"/>
      <c r="X95" s="170"/>
      <c r="Y95" s="34" t="s">
        <v>44</v>
      </c>
      <c r="AA95" s="166"/>
      <c r="AB95" s="166"/>
      <c r="AC95" s="166"/>
      <c r="AD95" s="166"/>
      <c r="AE95" s="167" t="str">
        <f t="shared" si="5"/>
        <v>Units?</v>
      </c>
      <c r="AF95" s="167"/>
      <c r="AG95" s="166"/>
      <c r="AH95" s="166"/>
      <c r="AI95" s="166"/>
      <c r="AJ95" s="166"/>
      <c r="AK95" s="167" t="str">
        <f t="shared" si="6"/>
        <v>Units?</v>
      </c>
      <c r="AL95" s="167"/>
      <c r="AO95" s="118">
        <f t="shared" si="2"/>
        <v>1</v>
      </c>
    </row>
    <row r="96" spans="2:41" ht="15" customHeight="1" x14ac:dyDescent="0.3">
      <c r="B96" s="237">
        <f>'Form 2B.1 - Design'!S98</f>
        <v>0</v>
      </c>
      <c r="C96" s="237"/>
      <c r="D96" s="237"/>
      <c r="E96" s="34" t="s">
        <v>44</v>
      </c>
      <c r="G96" s="219">
        <f>'Form 2B.1 - Design'!X98</f>
        <v>0</v>
      </c>
      <c r="H96" s="219"/>
      <c r="I96" s="219"/>
      <c r="J96" s="219"/>
      <c r="K96" s="167" t="str">
        <f t="shared" si="3"/>
        <v>Units?</v>
      </c>
      <c r="L96" s="167"/>
      <c r="M96" s="229">
        <f>'Form 2B.1 - Design'!AC98</f>
        <v>0</v>
      </c>
      <c r="N96" s="229"/>
      <c r="O96" s="229"/>
      <c r="P96" s="229"/>
      <c r="Q96" s="167" t="str">
        <f t="shared" si="4"/>
        <v>Units?</v>
      </c>
      <c r="R96" s="167"/>
      <c r="U96" s="71"/>
      <c r="V96" s="170"/>
      <c r="W96" s="170"/>
      <c r="X96" s="170"/>
      <c r="Y96" s="34" t="s">
        <v>44</v>
      </c>
      <c r="AA96" s="166"/>
      <c r="AB96" s="166"/>
      <c r="AC96" s="166"/>
      <c r="AD96" s="166"/>
      <c r="AE96" s="167" t="str">
        <f t="shared" si="5"/>
        <v>Units?</v>
      </c>
      <c r="AF96" s="167"/>
      <c r="AG96" s="166"/>
      <c r="AH96" s="166"/>
      <c r="AI96" s="166"/>
      <c r="AJ96" s="166"/>
      <c r="AK96" s="167" t="str">
        <f t="shared" si="6"/>
        <v>Units?</v>
      </c>
      <c r="AL96" s="167"/>
      <c r="AO96" s="118">
        <f t="shared" si="2"/>
        <v>1</v>
      </c>
    </row>
    <row r="97" spans="1:44" ht="15" customHeight="1" x14ac:dyDescent="0.3">
      <c r="B97" s="237">
        <f>'Form 2B.1 - Design'!S99</f>
        <v>0</v>
      </c>
      <c r="C97" s="237"/>
      <c r="D97" s="237"/>
      <c r="E97" s="34" t="s">
        <v>44</v>
      </c>
      <c r="G97" s="219">
        <f>'Form 2B.1 - Design'!X99</f>
        <v>0</v>
      </c>
      <c r="H97" s="219"/>
      <c r="I97" s="219"/>
      <c r="J97" s="219"/>
      <c r="K97" s="167" t="str">
        <f t="shared" si="3"/>
        <v>Units?</v>
      </c>
      <c r="L97" s="167"/>
      <c r="M97" s="229">
        <f>'Form 2B.1 - Design'!AC99</f>
        <v>0</v>
      </c>
      <c r="N97" s="229"/>
      <c r="O97" s="229"/>
      <c r="P97" s="229"/>
      <c r="Q97" s="167" t="str">
        <f t="shared" si="4"/>
        <v>Units?</v>
      </c>
      <c r="R97" s="167"/>
      <c r="U97" s="71"/>
      <c r="V97" s="170"/>
      <c r="W97" s="170"/>
      <c r="X97" s="170"/>
      <c r="Y97" s="34" t="s">
        <v>44</v>
      </c>
      <c r="AA97" s="166"/>
      <c r="AB97" s="166"/>
      <c r="AC97" s="166"/>
      <c r="AD97" s="166"/>
      <c r="AE97" s="167" t="str">
        <f t="shared" si="5"/>
        <v>Units?</v>
      </c>
      <c r="AF97" s="167"/>
      <c r="AG97" s="166"/>
      <c r="AH97" s="166"/>
      <c r="AI97" s="166"/>
      <c r="AJ97" s="166"/>
      <c r="AK97" s="167" t="str">
        <f t="shared" si="6"/>
        <v>Units?</v>
      </c>
      <c r="AL97" s="167"/>
      <c r="AO97" s="118">
        <f t="shared" si="2"/>
        <v>1</v>
      </c>
    </row>
    <row r="98" spans="1:44" ht="15" customHeight="1" x14ac:dyDescent="0.3">
      <c r="B98" s="237">
        <f>'Form 2B.1 - Design'!S100</f>
        <v>0</v>
      </c>
      <c r="C98" s="237"/>
      <c r="D98" s="237"/>
      <c r="E98" s="34" t="s">
        <v>44</v>
      </c>
      <c r="G98" s="219">
        <f>'Form 2B.1 - Design'!X100</f>
        <v>0</v>
      </c>
      <c r="H98" s="219"/>
      <c r="I98" s="219"/>
      <c r="J98" s="219"/>
      <c r="K98" s="167" t="str">
        <f t="shared" si="3"/>
        <v>Units?</v>
      </c>
      <c r="L98" s="167"/>
      <c r="M98" s="229">
        <f>'Form 2B.1 - Design'!AC100</f>
        <v>0</v>
      </c>
      <c r="N98" s="229"/>
      <c r="O98" s="229"/>
      <c r="P98" s="229"/>
      <c r="Q98" s="167" t="str">
        <f t="shared" si="4"/>
        <v>Units?</v>
      </c>
      <c r="R98" s="167"/>
      <c r="U98" s="71"/>
      <c r="V98" s="170"/>
      <c r="W98" s="170"/>
      <c r="X98" s="170"/>
      <c r="Y98" s="34" t="s">
        <v>44</v>
      </c>
      <c r="AA98" s="166"/>
      <c r="AB98" s="166"/>
      <c r="AC98" s="166"/>
      <c r="AD98" s="166"/>
      <c r="AE98" s="167" t="str">
        <f t="shared" si="5"/>
        <v>Units?</v>
      </c>
      <c r="AF98" s="167"/>
      <c r="AG98" s="166"/>
      <c r="AH98" s="166"/>
      <c r="AI98" s="166"/>
      <c r="AJ98" s="166"/>
      <c r="AK98" s="167" t="str">
        <f t="shared" si="6"/>
        <v>Units?</v>
      </c>
      <c r="AL98" s="167"/>
      <c r="AO98" s="118">
        <f t="shared" si="2"/>
        <v>1</v>
      </c>
    </row>
    <row r="99" spans="1:44" ht="15" customHeight="1" x14ac:dyDescent="0.3">
      <c r="B99" s="237">
        <f>'Form 2B.1 - Design'!S101</f>
        <v>0</v>
      </c>
      <c r="C99" s="237"/>
      <c r="D99" s="237"/>
      <c r="E99" s="34" t="s">
        <v>44</v>
      </c>
      <c r="G99" s="219">
        <f>'Form 2B.1 - Design'!X101</f>
        <v>0</v>
      </c>
      <c r="H99" s="219"/>
      <c r="I99" s="219"/>
      <c r="J99" s="219"/>
      <c r="K99" s="167" t="str">
        <f t="shared" si="3"/>
        <v>Units?</v>
      </c>
      <c r="L99" s="167"/>
      <c r="M99" s="229">
        <f>'Form 2B.1 - Design'!AC101</f>
        <v>0</v>
      </c>
      <c r="N99" s="229"/>
      <c r="O99" s="229"/>
      <c r="P99" s="229"/>
      <c r="Q99" s="167" t="str">
        <f t="shared" si="4"/>
        <v>Units?</v>
      </c>
      <c r="R99" s="167"/>
      <c r="U99" s="71"/>
      <c r="V99" s="170"/>
      <c r="W99" s="170"/>
      <c r="X99" s="170"/>
      <c r="Y99" s="34" t="s">
        <v>44</v>
      </c>
      <c r="AA99" s="166"/>
      <c r="AB99" s="166"/>
      <c r="AC99" s="166"/>
      <c r="AD99" s="166"/>
      <c r="AE99" s="167" t="str">
        <f t="shared" si="5"/>
        <v>Units?</v>
      </c>
      <c r="AF99" s="167"/>
      <c r="AG99" s="166"/>
      <c r="AH99" s="166"/>
      <c r="AI99" s="166"/>
      <c r="AJ99" s="166"/>
      <c r="AK99" s="167" t="str">
        <f t="shared" si="6"/>
        <v>Units?</v>
      </c>
      <c r="AL99" s="167"/>
      <c r="AO99" s="118">
        <f t="shared" si="2"/>
        <v>1</v>
      </c>
    </row>
    <row r="100" spans="1:44" ht="4.95" customHeight="1" x14ac:dyDescent="0.3">
      <c r="H100" s="38"/>
      <c r="J100" s="44"/>
      <c r="K100" s="44"/>
      <c r="L100" s="44"/>
      <c r="N100" s="48"/>
      <c r="O100" s="48"/>
      <c r="P100" s="48"/>
      <c r="Q100" s="48"/>
      <c r="W100" s="38"/>
      <c r="X100" s="38"/>
      <c r="Y100" s="38"/>
      <c r="AA100" s="44"/>
      <c r="AB100" s="44"/>
      <c r="AC100" s="44"/>
      <c r="AE100" s="48"/>
      <c r="AF100" s="48"/>
      <c r="AG100" s="48"/>
      <c r="AH100" s="48"/>
    </row>
    <row r="101" spans="1:44" ht="15" customHeight="1" x14ac:dyDescent="0.3">
      <c r="H101" s="38"/>
      <c r="J101" s="44"/>
      <c r="K101" s="44"/>
      <c r="L101" s="44"/>
      <c r="N101" s="48"/>
      <c r="O101" s="48"/>
      <c r="P101" s="48"/>
      <c r="Q101" s="48"/>
      <c r="W101" s="38"/>
      <c r="X101" s="38"/>
      <c r="Y101" s="38"/>
      <c r="AA101" s="44"/>
      <c r="AB101" s="44"/>
      <c r="AC101" s="44"/>
      <c r="AE101" s="48"/>
      <c r="AF101" s="48"/>
      <c r="AG101" s="48"/>
      <c r="AH101" s="48"/>
    </row>
    <row r="102" spans="1:44" ht="15" customHeight="1" x14ac:dyDescent="0.3">
      <c r="H102" s="38"/>
      <c r="J102" s="44"/>
      <c r="K102" s="44"/>
      <c r="L102" s="44"/>
      <c r="N102" s="48"/>
      <c r="O102" s="48"/>
      <c r="P102" s="48"/>
      <c r="Q102" s="48"/>
      <c r="W102" s="38"/>
      <c r="X102" s="38"/>
      <c r="Y102" s="38"/>
      <c r="AA102" s="44"/>
      <c r="AB102" s="44"/>
      <c r="AC102" s="44"/>
      <c r="AE102" s="48"/>
      <c r="AF102" s="48"/>
      <c r="AG102" s="48"/>
      <c r="AH102" s="48"/>
    </row>
    <row r="103" spans="1:44" ht="15" customHeight="1" x14ac:dyDescent="0.3">
      <c r="H103" s="38"/>
      <c r="J103" s="44"/>
      <c r="K103" s="44"/>
      <c r="L103" s="44"/>
      <c r="N103" s="48"/>
      <c r="O103" s="48"/>
      <c r="P103" s="48"/>
      <c r="Q103" s="48"/>
      <c r="W103" s="38"/>
      <c r="X103" s="38"/>
      <c r="Y103" s="38"/>
      <c r="AA103" s="44"/>
      <c r="AB103" s="44"/>
      <c r="AC103" s="44"/>
      <c r="AE103" s="48"/>
      <c r="AF103" s="48"/>
      <c r="AG103" s="48"/>
      <c r="AH103" s="48"/>
    </row>
    <row r="104" spans="1:44" ht="15" customHeight="1" x14ac:dyDescent="0.3">
      <c r="H104" s="38"/>
      <c r="J104" s="44"/>
      <c r="K104" s="44"/>
      <c r="L104" s="44"/>
      <c r="N104" s="48"/>
      <c r="O104" s="48"/>
      <c r="P104" s="48"/>
      <c r="Q104" s="48"/>
      <c r="W104" s="38"/>
      <c r="X104" s="38"/>
      <c r="Y104" s="38"/>
      <c r="AA104" s="44"/>
      <c r="AB104" s="44"/>
      <c r="AC104" s="44"/>
      <c r="AE104" s="48"/>
      <c r="AF104" s="48"/>
      <c r="AG104" s="48"/>
      <c r="AH104" s="48"/>
    </row>
    <row r="105" spans="1:44" ht="15" customHeight="1" x14ac:dyDescent="0.3">
      <c r="AK105" s="38"/>
    </row>
    <row r="106" spans="1:44" ht="15" customHeight="1" x14ac:dyDescent="0.3">
      <c r="B106" s="186">
        <f>Tables!$C$13</f>
        <v>45566</v>
      </c>
      <c r="C106" s="186"/>
      <c r="D106" s="186"/>
      <c r="E106" s="186"/>
      <c r="F106" s="186"/>
      <c r="G106" s="186"/>
      <c r="H106" s="186"/>
      <c r="R106" s="185" t="s">
        <v>243</v>
      </c>
      <c r="S106" s="185"/>
      <c r="T106" s="185"/>
      <c r="U106" s="185"/>
      <c r="AK106" s="38"/>
    </row>
    <row r="107" spans="1:44" ht="15" customHeight="1" x14ac:dyDescent="0.3">
      <c r="C107" s="2" t="s">
        <v>1</v>
      </c>
      <c r="D107" s="173">
        <f>IF(ISBLANK($E$15),"",$E$15)</f>
        <v>0</v>
      </c>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46"/>
      <c r="AB107" s="46"/>
      <c r="AC107" s="46"/>
      <c r="AF107" s="2" t="s">
        <v>21</v>
      </c>
      <c r="AG107" s="174">
        <f>$AF$15</f>
        <v>0</v>
      </c>
      <c r="AH107" s="174"/>
      <c r="AI107" s="174"/>
      <c r="AJ107" s="174"/>
      <c r="AK107" s="174"/>
    </row>
    <row r="108" spans="1:44" ht="15" customHeight="1" x14ac:dyDescent="0.3">
      <c r="H108" s="47"/>
      <c r="I108" s="47"/>
      <c r="J108" s="2"/>
      <c r="K108" s="2"/>
      <c r="L108" s="2"/>
      <c r="M108" s="47"/>
      <c r="N108" s="46"/>
      <c r="O108" s="46"/>
      <c r="P108" s="46"/>
      <c r="Q108" s="46"/>
      <c r="R108" s="46"/>
      <c r="S108" s="46"/>
      <c r="T108" s="46"/>
      <c r="U108" s="46"/>
      <c r="V108" s="46"/>
      <c r="W108" s="46"/>
      <c r="X108" s="46"/>
      <c r="Y108" s="46"/>
      <c r="Z108" s="46"/>
      <c r="AA108" s="46"/>
      <c r="AB108" s="46"/>
      <c r="AC108" s="46"/>
      <c r="AF108" s="2" t="s">
        <v>35</v>
      </c>
      <c r="AG108" s="224">
        <f>IF(ISBLANK($AF$16),"",$AF$16)</f>
        <v>0</v>
      </c>
      <c r="AH108" s="224"/>
      <c r="AI108" s="224"/>
      <c r="AJ108" s="224"/>
      <c r="AK108" s="224"/>
    </row>
    <row r="109" spans="1:44" ht="4.95" customHeight="1" x14ac:dyDescent="0.3">
      <c r="H109" s="38"/>
      <c r="J109" s="44"/>
      <c r="K109" s="44"/>
      <c r="L109" s="44"/>
      <c r="N109" s="48"/>
      <c r="O109" s="48"/>
      <c r="P109" s="48"/>
      <c r="Q109" s="48"/>
      <c r="W109" s="38"/>
      <c r="X109" s="38"/>
      <c r="Y109" s="38"/>
      <c r="AA109" s="44"/>
      <c r="AB109" s="44"/>
      <c r="AC109" s="44"/>
      <c r="AE109" s="48"/>
      <c r="AF109" s="48"/>
      <c r="AG109" s="48"/>
      <c r="AH109" s="48"/>
    </row>
    <row r="110" spans="1:44" ht="15" customHeight="1" x14ac:dyDescent="0.3">
      <c r="A110" s="222" t="s">
        <v>457</v>
      </c>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121"/>
      <c r="AN110" s="123"/>
      <c r="AP110" s="117">
        <f>Tables!C26</f>
        <v>6</v>
      </c>
      <c r="AQ110" s="128" t="s">
        <v>315</v>
      </c>
      <c r="AR110" s="128"/>
    </row>
    <row r="111" spans="1:44" ht="30" customHeight="1" x14ac:dyDescent="0.3">
      <c r="B111" s="1" t="s">
        <v>57</v>
      </c>
      <c r="I111" s="232" t="s">
        <v>134</v>
      </c>
      <c r="J111" s="232"/>
      <c r="K111" s="232"/>
      <c r="L111" s="232"/>
      <c r="M111" s="1"/>
      <c r="N111" s="232" t="s">
        <v>135</v>
      </c>
      <c r="O111" s="232"/>
      <c r="P111" s="232"/>
      <c r="Q111" s="232"/>
      <c r="S111" s="232" t="s">
        <v>136</v>
      </c>
      <c r="T111" s="232"/>
      <c r="U111" s="232"/>
      <c r="V111" s="232"/>
      <c r="X111" s="232" t="s">
        <v>298</v>
      </c>
      <c r="Y111" s="232"/>
      <c r="Z111" s="232"/>
      <c r="AA111" s="232"/>
      <c r="AC111" s="232" t="s">
        <v>245</v>
      </c>
      <c r="AD111" s="232"/>
      <c r="AE111" s="232"/>
      <c r="AF111" s="232"/>
      <c r="AH111" s="232" t="s">
        <v>137</v>
      </c>
      <c r="AI111" s="232"/>
      <c r="AJ111" s="232"/>
      <c r="AK111" s="232"/>
      <c r="AM111" s="16" t="s">
        <v>434</v>
      </c>
      <c r="AN111" s="16" t="s">
        <v>417</v>
      </c>
      <c r="AO111" s="18" t="s">
        <v>461</v>
      </c>
    </row>
    <row r="112" spans="1:44" ht="15" customHeight="1" x14ac:dyDescent="0.3">
      <c r="C112" s="188">
        <f>Tables!$C$16</f>
        <v>4.24</v>
      </c>
      <c r="D112" s="188"/>
      <c r="G112" s="2" t="str">
        <f>Tables!$A$16</f>
        <v>(2-yr)</v>
      </c>
      <c r="I112" s="175">
        <f>'Form 2B.1 - Design'!M109</f>
        <v>0</v>
      </c>
      <c r="J112" s="175"/>
      <c r="K112" s="175"/>
      <c r="L112" s="175"/>
      <c r="N112" s="217">
        <f>'Form 2B.1 - Design'!Q109</f>
        <v>0</v>
      </c>
      <c r="O112" s="217"/>
      <c r="P112" s="217"/>
      <c r="Q112" s="217"/>
      <c r="S112" s="217">
        <f>'Form 2B.1 - Design'!U109</f>
        <v>0</v>
      </c>
      <c r="T112" s="217"/>
      <c r="U112" s="217"/>
      <c r="V112" s="217"/>
      <c r="X112" s="217">
        <f>'Form 2B.1 - Design'!Y109</f>
        <v>0</v>
      </c>
      <c r="Y112" s="217"/>
      <c r="Z112" s="217"/>
      <c r="AA112" s="217"/>
      <c r="AC112" s="217">
        <f>'Form 2B.1 - Design'!AC109</f>
        <v>0</v>
      </c>
      <c r="AD112" s="217"/>
      <c r="AE112" s="217"/>
      <c r="AF112" s="217"/>
      <c r="AH112" s="217">
        <f>'Form 2B.1 - Design'!AG109</f>
        <v>0</v>
      </c>
      <c r="AI112" s="217"/>
      <c r="AJ112" s="217"/>
      <c r="AK112" s="217"/>
      <c r="AM112" s="118">
        <f>IF(AH112&gt;I112,1,0)</f>
        <v>0</v>
      </c>
      <c r="AN112" s="118">
        <f>IF($AP$113=1,0,IF($AH112&gt;$AR$113,1,0))</f>
        <v>0</v>
      </c>
      <c r="AO112" s="118">
        <f>IF($AP$114=1,0,IF($AH112&gt;$AR$114,1,0))</f>
        <v>0</v>
      </c>
      <c r="AQ112" s="18" t="s">
        <v>462</v>
      </c>
      <c r="AR112" s="18" t="s">
        <v>160</v>
      </c>
    </row>
    <row r="113" spans="2:45" ht="15" customHeight="1" x14ac:dyDescent="0.3">
      <c r="C113" s="188">
        <f>Tables!$C$17</f>
        <v>5.3</v>
      </c>
      <c r="D113" s="188"/>
      <c r="G113" s="2" t="str">
        <f>Tables!$A$17</f>
        <v>(5-yr)</v>
      </c>
      <c r="I113" s="175">
        <f>'Form 2B.1 - Design'!M110</f>
        <v>0</v>
      </c>
      <c r="J113" s="175"/>
      <c r="K113" s="175"/>
      <c r="L113" s="175"/>
      <c r="N113" s="220">
        <f>'Form 2B.1 - Design'!Q110</f>
        <v>0</v>
      </c>
      <c r="O113" s="220"/>
      <c r="P113" s="220"/>
      <c r="Q113" s="220"/>
      <c r="S113" s="220">
        <f>'Form 2B.1 - Design'!U110</f>
        <v>0</v>
      </c>
      <c r="T113" s="220"/>
      <c r="U113" s="220"/>
      <c r="V113" s="220"/>
      <c r="X113" s="220">
        <f>'Form 2B.1 - Design'!Y110</f>
        <v>0</v>
      </c>
      <c r="Y113" s="220"/>
      <c r="Z113" s="220"/>
      <c r="AA113" s="220"/>
      <c r="AC113" s="217">
        <f>'Form 2B.1 - Design'!AC110</f>
        <v>0</v>
      </c>
      <c r="AD113" s="217"/>
      <c r="AE113" s="217"/>
      <c r="AF113" s="217"/>
      <c r="AH113" s="220">
        <f>'Form 2B.1 - Design'!AG110</f>
        <v>0</v>
      </c>
      <c r="AI113" s="220"/>
      <c r="AJ113" s="220"/>
      <c r="AK113" s="220"/>
      <c r="AM113" s="118">
        <f t="shared" ref="AM113:AM117" si="7">IF(AH113&gt;I113,1,0)</f>
        <v>0</v>
      </c>
      <c r="AN113" s="118">
        <f t="shared" ref="AN113:AN117" si="8">IF($AP$113=1,0,IF(AH113&gt;$AR$113,1,0))</f>
        <v>0</v>
      </c>
      <c r="AO113" s="118">
        <f t="shared" ref="AO113:AO117" si="9">IF($AP$114=1,0,IF($AH113&gt;$AR$114,1,0))</f>
        <v>0</v>
      </c>
      <c r="AP113" s="153">
        <f>IF(AQ113="Yes",'Form 2B.1 - Design'!AM153,1)</f>
        <v>1</v>
      </c>
      <c r="AQ113" s="118" t="str">
        <f>'Form 2B.1 - Design'!AO153</f>
        <v>No</v>
      </c>
      <c r="AR113" s="124">
        <f>'Form 2B.1 - Design'!AN153</f>
        <v>0</v>
      </c>
      <c r="AS113" s="128" t="s">
        <v>417</v>
      </c>
    </row>
    <row r="114" spans="2:45" ht="15" customHeight="1" x14ac:dyDescent="0.3">
      <c r="C114" s="188">
        <f>Tables!$C$18</f>
        <v>6.24</v>
      </c>
      <c r="D114" s="188"/>
      <c r="G114" s="2" t="str">
        <f>Tables!$A$18</f>
        <v>(10-yr)</v>
      </c>
      <c r="I114" s="175">
        <f>'Form 2B.1 - Design'!M111</f>
        <v>0</v>
      </c>
      <c r="J114" s="175"/>
      <c r="K114" s="175"/>
      <c r="L114" s="175"/>
      <c r="N114" s="220">
        <f>'Form 2B.1 - Design'!Q111</f>
        <v>0</v>
      </c>
      <c r="O114" s="220"/>
      <c r="P114" s="220"/>
      <c r="Q114" s="220"/>
      <c r="S114" s="220">
        <f>'Form 2B.1 - Design'!U111</f>
        <v>0</v>
      </c>
      <c r="T114" s="220"/>
      <c r="U114" s="220"/>
      <c r="V114" s="220"/>
      <c r="X114" s="220">
        <f>'Form 2B.1 - Design'!Y111</f>
        <v>0</v>
      </c>
      <c r="Y114" s="220"/>
      <c r="Z114" s="220"/>
      <c r="AA114" s="220"/>
      <c r="AC114" s="217">
        <f>'Form 2B.1 - Design'!AC111</f>
        <v>0</v>
      </c>
      <c r="AD114" s="217"/>
      <c r="AE114" s="217"/>
      <c r="AF114" s="217"/>
      <c r="AH114" s="220">
        <f>'Form 2B.1 - Design'!AG111</f>
        <v>0</v>
      </c>
      <c r="AI114" s="220"/>
      <c r="AJ114" s="220"/>
      <c r="AK114" s="220"/>
      <c r="AM114" s="118">
        <f t="shared" si="7"/>
        <v>0</v>
      </c>
      <c r="AN114" s="118">
        <f t="shared" si="8"/>
        <v>0</v>
      </c>
      <c r="AO114" s="118">
        <f t="shared" si="9"/>
        <v>0</v>
      </c>
      <c r="AP114" s="153">
        <f>IF(AQ114="Yes",'Form 2B.1 - Design'!AM155,1)</f>
        <v>1</v>
      </c>
      <c r="AQ114" s="118" t="str">
        <f>'Form 2B.1 - Design'!AO155</f>
        <v>No</v>
      </c>
      <c r="AR114" s="124">
        <f>'Form 2B.1 - Design'!AN155</f>
        <v>0</v>
      </c>
      <c r="AS114" s="128" t="s">
        <v>437</v>
      </c>
    </row>
    <row r="115" spans="2:45" ht="15" customHeight="1" x14ac:dyDescent="0.3">
      <c r="C115" s="188">
        <f>Tables!$C$19</f>
        <v>7.64</v>
      </c>
      <c r="D115" s="188"/>
      <c r="G115" s="2" t="str">
        <f>Tables!$A$19</f>
        <v>(25-yr)</v>
      </c>
      <c r="I115" s="175">
        <f>'Form 2B.1 - Design'!M112</f>
        <v>0</v>
      </c>
      <c r="J115" s="175"/>
      <c r="K115" s="175"/>
      <c r="L115" s="175"/>
      <c r="N115" s="220">
        <f>'Form 2B.1 - Design'!Q112</f>
        <v>0</v>
      </c>
      <c r="O115" s="220"/>
      <c r="P115" s="220"/>
      <c r="Q115" s="220"/>
      <c r="S115" s="220">
        <f>'Form 2B.1 - Design'!U112</f>
        <v>0</v>
      </c>
      <c r="T115" s="220"/>
      <c r="U115" s="220"/>
      <c r="V115" s="220"/>
      <c r="X115" s="220">
        <f>'Form 2B.1 - Design'!Y112</f>
        <v>0</v>
      </c>
      <c r="Y115" s="220"/>
      <c r="Z115" s="220"/>
      <c r="AA115" s="220"/>
      <c r="AC115" s="217">
        <f>'Form 2B.1 - Design'!AC112</f>
        <v>0</v>
      </c>
      <c r="AD115" s="217"/>
      <c r="AE115" s="217"/>
      <c r="AF115" s="217"/>
      <c r="AH115" s="220">
        <f>'Form 2B.1 - Design'!AG112</f>
        <v>0</v>
      </c>
      <c r="AI115" s="220"/>
      <c r="AJ115" s="220"/>
      <c r="AK115" s="220"/>
      <c r="AM115" s="118">
        <f t="shared" si="7"/>
        <v>0</v>
      </c>
      <c r="AN115" s="118">
        <f t="shared" si="8"/>
        <v>0</v>
      </c>
      <c r="AO115" s="118">
        <f t="shared" si="9"/>
        <v>0</v>
      </c>
      <c r="AR115" s="16"/>
    </row>
    <row r="116" spans="2:45" ht="15" customHeight="1" x14ac:dyDescent="0.3">
      <c r="C116" s="188">
        <f>Tables!$C$20</f>
        <v>8.8000000000000007</v>
      </c>
      <c r="D116" s="188"/>
      <c r="G116" s="2" t="str">
        <f>Tables!$A$20</f>
        <v>(50-yr)</v>
      </c>
      <c r="I116" s="175">
        <f>'Form 2B.1 - Design'!M113</f>
        <v>0</v>
      </c>
      <c r="J116" s="175"/>
      <c r="K116" s="175"/>
      <c r="L116" s="175"/>
      <c r="N116" s="220">
        <f>'Form 2B.1 - Design'!Q113</f>
        <v>0</v>
      </c>
      <c r="O116" s="220"/>
      <c r="P116" s="220"/>
      <c r="Q116" s="220"/>
      <c r="S116" s="220">
        <f>'Form 2B.1 - Design'!U113</f>
        <v>0</v>
      </c>
      <c r="T116" s="220"/>
      <c r="U116" s="220"/>
      <c r="V116" s="220"/>
      <c r="X116" s="220">
        <f>'Form 2B.1 - Design'!Y113</f>
        <v>0</v>
      </c>
      <c r="Y116" s="220"/>
      <c r="Z116" s="220"/>
      <c r="AA116" s="220"/>
      <c r="AC116" s="217">
        <f>'Form 2B.1 - Design'!AC113</f>
        <v>0</v>
      </c>
      <c r="AD116" s="217"/>
      <c r="AE116" s="217"/>
      <c r="AF116" s="217"/>
      <c r="AH116" s="220">
        <f>'Form 2B.1 - Design'!AG113</f>
        <v>0</v>
      </c>
      <c r="AI116" s="220"/>
      <c r="AJ116" s="220"/>
      <c r="AK116" s="220"/>
      <c r="AM116" s="118">
        <f t="shared" si="7"/>
        <v>0</v>
      </c>
      <c r="AN116" s="118">
        <f t="shared" si="8"/>
        <v>0</v>
      </c>
      <c r="AO116" s="118">
        <f t="shared" si="9"/>
        <v>0</v>
      </c>
    </row>
    <row r="117" spans="2:45" ht="15" customHeight="1" x14ac:dyDescent="0.3">
      <c r="C117" s="188">
        <f>Tables!$C$21</f>
        <v>10</v>
      </c>
      <c r="D117" s="188"/>
      <c r="G117" s="2" t="str">
        <f>Tables!$A$21</f>
        <v>(100-yr)</v>
      </c>
      <c r="I117" s="175">
        <f>'Form 2B.1 - Design'!M114</f>
        <v>0</v>
      </c>
      <c r="J117" s="175"/>
      <c r="K117" s="175"/>
      <c r="L117" s="175"/>
      <c r="N117" s="220">
        <f>'Form 2B.1 - Design'!Q114</f>
        <v>0</v>
      </c>
      <c r="O117" s="220"/>
      <c r="P117" s="220"/>
      <c r="Q117" s="220"/>
      <c r="S117" s="220">
        <f>'Form 2B.1 - Design'!U114</f>
        <v>0</v>
      </c>
      <c r="T117" s="220"/>
      <c r="U117" s="220"/>
      <c r="V117" s="220"/>
      <c r="X117" s="220">
        <f>'Form 2B.1 - Design'!Y114</f>
        <v>0</v>
      </c>
      <c r="Y117" s="220"/>
      <c r="Z117" s="220"/>
      <c r="AA117" s="220"/>
      <c r="AC117" s="217">
        <f>'Form 2B.1 - Design'!AC114</f>
        <v>0</v>
      </c>
      <c r="AD117" s="217"/>
      <c r="AE117" s="217"/>
      <c r="AF117" s="217"/>
      <c r="AH117" s="220">
        <f>'Form 2B.1 - Design'!AG114</f>
        <v>0</v>
      </c>
      <c r="AI117" s="220"/>
      <c r="AJ117" s="220"/>
      <c r="AK117" s="220"/>
      <c r="AM117" s="118">
        <f t="shared" si="7"/>
        <v>0</v>
      </c>
      <c r="AN117" s="118">
        <f t="shared" si="8"/>
        <v>0</v>
      </c>
      <c r="AO117" s="118">
        <f t="shared" si="9"/>
        <v>0</v>
      </c>
    </row>
    <row r="118" spans="2:45" ht="4.95" customHeight="1" x14ac:dyDescent="0.3">
      <c r="I118" s="2"/>
      <c r="J118" s="2"/>
      <c r="K118" s="2"/>
      <c r="N118" s="6"/>
      <c r="O118" s="6"/>
      <c r="P118" s="6"/>
      <c r="S118" s="46"/>
      <c r="T118" s="46"/>
      <c r="U118" s="46"/>
      <c r="Y118" s="46"/>
      <c r="Z118" s="46"/>
      <c r="AA118" s="46"/>
      <c r="AD118" s="46"/>
      <c r="AE118" s="46"/>
      <c r="AF118" s="46"/>
      <c r="AI118" s="46"/>
      <c r="AJ118" s="46"/>
      <c r="AK118" s="46"/>
    </row>
    <row r="119" spans="2:45" ht="30" customHeight="1" x14ac:dyDescent="0.3">
      <c r="B119" s="1" t="s">
        <v>58</v>
      </c>
      <c r="I119" s="232" t="s">
        <v>134</v>
      </c>
      <c r="J119" s="232"/>
      <c r="K119" s="232"/>
      <c r="L119" s="232"/>
      <c r="M119" s="49"/>
      <c r="N119" s="232" t="s">
        <v>135</v>
      </c>
      <c r="O119" s="232"/>
      <c r="P119" s="232"/>
      <c r="Q119" s="232"/>
      <c r="S119" s="232" t="s">
        <v>136</v>
      </c>
      <c r="T119" s="232"/>
      <c r="U119" s="232"/>
      <c r="V119" s="232"/>
      <c r="X119" s="232" t="s">
        <v>298</v>
      </c>
      <c r="Y119" s="232"/>
      <c r="Z119" s="232"/>
      <c r="AA119" s="232"/>
      <c r="AC119" s="232" t="s">
        <v>245</v>
      </c>
      <c r="AD119" s="232"/>
      <c r="AE119" s="232"/>
      <c r="AF119" s="232"/>
      <c r="AH119" s="232" t="s">
        <v>137</v>
      </c>
      <c r="AI119" s="232"/>
      <c r="AJ119" s="232"/>
      <c r="AK119" s="232"/>
      <c r="AM119" s="118">
        <f>SUM(AM120:AM125)</f>
        <v>6</v>
      </c>
      <c r="AN119" s="118">
        <f>SUM(AN120:AN125)</f>
        <v>6</v>
      </c>
      <c r="AO119" s="118">
        <f>SUM(AO120:AO123)</f>
        <v>4</v>
      </c>
      <c r="AP119" s="118">
        <f>SUM(AP120:AP125)</f>
        <v>6</v>
      </c>
      <c r="AQ119" s="118">
        <f t="shared" ref="AQ119:AR119" si="10">SUM(AQ120:AQ125)</f>
        <v>0</v>
      </c>
      <c r="AR119" s="118">
        <f t="shared" si="10"/>
        <v>0</v>
      </c>
      <c r="AS119" s="118">
        <f>SUM(AS120:AS125)</f>
        <v>6</v>
      </c>
    </row>
    <row r="120" spans="2:45" ht="15" customHeight="1" x14ac:dyDescent="0.3">
      <c r="C120" s="188">
        <f>Tables!$C$16</f>
        <v>4.24</v>
      </c>
      <c r="D120" s="188"/>
      <c r="G120" s="2" t="str">
        <f>Tables!$A$16</f>
        <v>(2-yr)</v>
      </c>
      <c r="I120" s="165"/>
      <c r="J120" s="165"/>
      <c r="K120" s="165"/>
      <c r="L120" s="165"/>
      <c r="N120" s="165"/>
      <c r="O120" s="165"/>
      <c r="P120" s="165"/>
      <c r="Q120" s="165"/>
      <c r="S120" s="165"/>
      <c r="T120" s="165"/>
      <c r="U120" s="165"/>
      <c r="V120" s="165"/>
      <c r="X120" s="165"/>
      <c r="Y120" s="165"/>
      <c r="Z120" s="165"/>
      <c r="AA120" s="165"/>
      <c r="AC120" s="165"/>
      <c r="AD120" s="165"/>
      <c r="AE120" s="165"/>
      <c r="AF120" s="165"/>
      <c r="AH120" s="165"/>
      <c r="AI120" s="165"/>
      <c r="AJ120" s="165"/>
      <c r="AK120" s="165"/>
      <c r="AM120" s="118">
        <f>IF(ISBLANK(I120),1,IF(I120=I112,0,1))</f>
        <v>1</v>
      </c>
      <c r="AN120" s="118">
        <f>IF(ISBLANK(N120),1,IF(N120=N112,0,1))</f>
        <v>1</v>
      </c>
      <c r="AO120" s="118">
        <f>IF(OR(ISBLANK(X120),ISBLANK(Y$67)),1,IF(X120&gt;Y$67,1,0))</f>
        <v>1</v>
      </c>
      <c r="AP120" s="118">
        <f t="shared" ref="AP120:AP125" si="11">IF(ISBLANK(AC120),1,IF(AC120&gt;$AP$110,1,0))</f>
        <v>1</v>
      </c>
      <c r="AQ120" s="118">
        <f t="shared" ref="AQ120:AQ124" si="12">IF($AR$113=0,0,IF($AH120&gt;=$AR$113,1,0))</f>
        <v>0</v>
      </c>
      <c r="AR120" s="118">
        <f t="shared" ref="AR120:AR124" si="13">IF($AR$114=0,0,IF($AH120&gt;=$AR$114,1,0))</f>
        <v>0</v>
      </c>
      <c r="AS120" s="118">
        <f>IF(OR(ISBLANK(AH120),ISBLANK(I120)),1,IF(AH120&gt;I120,1,0))</f>
        <v>1</v>
      </c>
    </row>
    <row r="121" spans="2:45" ht="15" customHeight="1" x14ac:dyDescent="0.3">
      <c r="C121" s="188">
        <f>Tables!$C$17</f>
        <v>5.3</v>
      </c>
      <c r="D121" s="188"/>
      <c r="G121" s="2" t="str">
        <f>Tables!$A$17</f>
        <v>(5-yr)</v>
      </c>
      <c r="I121" s="168"/>
      <c r="J121" s="168"/>
      <c r="K121" s="168"/>
      <c r="L121" s="168"/>
      <c r="N121" s="168"/>
      <c r="O121" s="168"/>
      <c r="P121" s="168"/>
      <c r="Q121" s="168"/>
      <c r="S121" s="168"/>
      <c r="T121" s="168"/>
      <c r="U121" s="168"/>
      <c r="V121" s="168"/>
      <c r="X121" s="168"/>
      <c r="Y121" s="168"/>
      <c r="Z121" s="168"/>
      <c r="AA121" s="168"/>
      <c r="AC121" s="168"/>
      <c r="AD121" s="168"/>
      <c r="AE121" s="168"/>
      <c r="AF121" s="168"/>
      <c r="AH121" s="168"/>
      <c r="AI121" s="168"/>
      <c r="AJ121" s="168"/>
      <c r="AK121" s="168"/>
      <c r="AM121" s="118">
        <f t="shared" ref="AM121:AM125" si="14">IF(ISBLANK(I121),1,IF(I121=I113,0,1))</f>
        <v>1</v>
      </c>
      <c r="AN121" s="118">
        <f t="shared" ref="AN121:AN125" si="15">IF(ISBLANK(N121),1,IF(N121=N113,0,1))</f>
        <v>1</v>
      </c>
      <c r="AO121" s="118">
        <f t="shared" ref="AO121:AO123" si="16">IF(OR(ISBLANK(X121),ISBLANK(Y$67)),1,IF(X121&gt;Y$67,1,0))</f>
        <v>1</v>
      </c>
      <c r="AP121" s="118">
        <f t="shared" si="11"/>
        <v>1</v>
      </c>
      <c r="AQ121" s="118">
        <f t="shared" si="12"/>
        <v>0</v>
      </c>
      <c r="AR121" s="118">
        <f t="shared" si="13"/>
        <v>0</v>
      </c>
      <c r="AS121" s="118">
        <f>IF(OR(ISBLANK(AH121),ISBLANK(I121)),1,IF(AH121&gt;I121,1,0))</f>
        <v>1</v>
      </c>
    </row>
    <row r="122" spans="2:45" ht="15" customHeight="1" x14ac:dyDescent="0.3">
      <c r="C122" s="188">
        <f>Tables!$C$18</f>
        <v>6.24</v>
      </c>
      <c r="D122" s="188"/>
      <c r="G122" s="2" t="str">
        <f>Tables!$A$18</f>
        <v>(10-yr)</v>
      </c>
      <c r="I122" s="168"/>
      <c r="J122" s="168"/>
      <c r="K122" s="168"/>
      <c r="L122" s="168"/>
      <c r="N122" s="168"/>
      <c r="O122" s="168"/>
      <c r="P122" s="168"/>
      <c r="Q122" s="168"/>
      <c r="S122" s="168"/>
      <c r="T122" s="168"/>
      <c r="U122" s="168"/>
      <c r="V122" s="168"/>
      <c r="X122" s="168"/>
      <c r="Y122" s="168"/>
      <c r="Z122" s="168"/>
      <c r="AA122" s="168"/>
      <c r="AC122" s="168"/>
      <c r="AD122" s="168"/>
      <c r="AE122" s="168"/>
      <c r="AF122" s="168"/>
      <c r="AH122" s="168"/>
      <c r="AI122" s="168"/>
      <c r="AJ122" s="168"/>
      <c r="AK122" s="168"/>
      <c r="AM122" s="118">
        <f t="shared" si="14"/>
        <v>1</v>
      </c>
      <c r="AN122" s="118">
        <f t="shared" si="15"/>
        <v>1</v>
      </c>
      <c r="AO122" s="118">
        <f t="shared" si="16"/>
        <v>1</v>
      </c>
      <c r="AP122" s="118">
        <f t="shared" si="11"/>
        <v>1</v>
      </c>
      <c r="AQ122" s="118">
        <f t="shared" si="12"/>
        <v>0</v>
      </c>
      <c r="AR122" s="118">
        <f t="shared" si="13"/>
        <v>0</v>
      </c>
      <c r="AS122" s="118">
        <f t="shared" ref="AS122:AS125" si="17">IF(OR(ISBLANK(AH122),ISBLANK(I122)),1,IF(AH122&gt;I122,1,0))</f>
        <v>1</v>
      </c>
    </row>
    <row r="123" spans="2:45" ht="15" customHeight="1" x14ac:dyDescent="0.3">
      <c r="C123" s="188">
        <f>Tables!$C$19</f>
        <v>7.64</v>
      </c>
      <c r="D123" s="188"/>
      <c r="G123" s="2" t="str">
        <f>Tables!$A$19</f>
        <v>(25-yr)</v>
      </c>
      <c r="I123" s="168"/>
      <c r="J123" s="168"/>
      <c r="K123" s="168"/>
      <c r="L123" s="168"/>
      <c r="N123" s="168"/>
      <c r="O123" s="168"/>
      <c r="P123" s="168"/>
      <c r="Q123" s="168"/>
      <c r="S123" s="168"/>
      <c r="T123" s="168"/>
      <c r="U123" s="168"/>
      <c r="V123" s="168"/>
      <c r="X123" s="168"/>
      <c r="Y123" s="168"/>
      <c r="Z123" s="168"/>
      <c r="AA123" s="168"/>
      <c r="AC123" s="168"/>
      <c r="AD123" s="168"/>
      <c r="AE123" s="168"/>
      <c r="AF123" s="168"/>
      <c r="AH123" s="168"/>
      <c r="AI123" s="168"/>
      <c r="AJ123" s="168"/>
      <c r="AK123" s="168"/>
      <c r="AM123" s="118">
        <f t="shared" si="14"/>
        <v>1</v>
      </c>
      <c r="AN123" s="118">
        <f t="shared" si="15"/>
        <v>1</v>
      </c>
      <c r="AO123" s="118">
        <f t="shared" si="16"/>
        <v>1</v>
      </c>
      <c r="AP123" s="118">
        <f t="shared" si="11"/>
        <v>1</v>
      </c>
      <c r="AQ123" s="118">
        <f t="shared" si="12"/>
        <v>0</v>
      </c>
      <c r="AR123" s="118">
        <f t="shared" si="13"/>
        <v>0</v>
      </c>
      <c r="AS123" s="118">
        <f t="shared" si="17"/>
        <v>1</v>
      </c>
    </row>
    <row r="124" spans="2:45" ht="15" customHeight="1" x14ac:dyDescent="0.3">
      <c r="C124" s="188">
        <f>Tables!$C$20</f>
        <v>8.8000000000000007</v>
      </c>
      <c r="D124" s="188"/>
      <c r="G124" s="2" t="str">
        <f>Tables!$A$20</f>
        <v>(50-yr)</v>
      </c>
      <c r="I124" s="168"/>
      <c r="J124" s="168"/>
      <c r="K124" s="168"/>
      <c r="L124" s="168"/>
      <c r="N124" s="168"/>
      <c r="O124" s="168"/>
      <c r="P124" s="168"/>
      <c r="Q124" s="168"/>
      <c r="S124" s="168"/>
      <c r="T124" s="168"/>
      <c r="U124" s="168"/>
      <c r="V124" s="168"/>
      <c r="X124" s="168"/>
      <c r="Y124" s="168"/>
      <c r="Z124" s="168"/>
      <c r="AA124" s="168"/>
      <c r="AC124" s="168"/>
      <c r="AD124" s="168"/>
      <c r="AE124" s="168"/>
      <c r="AF124" s="168"/>
      <c r="AH124" s="168"/>
      <c r="AI124" s="168"/>
      <c r="AJ124" s="168"/>
      <c r="AK124" s="168"/>
      <c r="AM124" s="118">
        <f t="shared" si="14"/>
        <v>1</v>
      </c>
      <c r="AN124" s="118">
        <f t="shared" si="15"/>
        <v>1</v>
      </c>
      <c r="AO124" s="124">
        <f>IF(OR(ISBLANK(X124),ISBLANK(AH$67)),0,AH$67-X124)</f>
        <v>0</v>
      </c>
      <c r="AP124" s="118">
        <f t="shared" si="11"/>
        <v>1</v>
      </c>
      <c r="AQ124" s="118">
        <f t="shared" si="12"/>
        <v>0</v>
      </c>
      <c r="AR124" s="118">
        <f t="shared" si="13"/>
        <v>0</v>
      </c>
      <c r="AS124" s="118">
        <f t="shared" si="17"/>
        <v>1</v>
      </c>
    </row>
    <row r="125" spans="2:45" ht="15" customHeight="1" x14ac:dyDescent="0.3">
      <c r="C125" s="188">
        <f>Tables!$C$21</f>
        <v>10</v>
      </c>
      <c r="D125" s="188"/>
      <c r="G125" s="2" t="str">
        <f>Tables!$A$21</f>
        <v>(100-yr)</v>
      </c>
      <c r="I125" s="168"/>
      <c r="J125" s="168"/>
      <c r="K125" s="168"/>
      <c r="L125" s="168"/>
      <c r="N125" s="168"/>
      <c r="O125" s="168"/>
      <c r="P125" s="168"/>
      <c r="Q125" s="168"/>
      <c r="S125" s="168"/>
      <c r="T125" s="168"/>
      <c r="U125" s="168"/>
      <c r="V125" s="168"/>
      <c r="X125" s="168"/>
      <c r="Y125" s="168"/>
      <c r="Z125" s="168"/>
      <c r="AA125" s="168"/>
      <c r="AC125" s="168"/>
      <c r="AD125" s="168"/>
      <c r="AE125" s="168"/>
      <c r="AF125" s="168"/>
      <c r="AH125" s="168"/>
      <c r="AI125" s="168"/>
      <c r="AJ125" s="168"/>
      <c r="AK125" s="168"/>
      <c r="AM125" s="118">
        <f t="shared" si="14"/>
        <v>1</v>
      </c>
      <c r="AN125" s="118">
        <f t="shared" si="15"/>
        <v>1</v>
      </c>
      <c r="AO125" s="124">
        <f>IF(OR(ISBLANK(X125),ISBLANK(AH$67)),0,AH$67-X125)</f>
        <v>0</v>
      </c>
      <c r="AP125" s="118">
        <f t="shared" si="11"/>
        <v>1</v>
      </c>
      <c r="AQ125" s="118">
        <f>IF($AR$114=0,0,IF($AH125&gt;=$AR$114,1,0))</f>
        <v>0</v>
      </c>
      <c r="AR125" s="118">
        <f>IF($AR$114=0,0,IF($AH125&gt;=$AR$114,1,0))</f>
        <v>0</v>
      </c>
      <c r="AS125" s="118">
        <f t="shared" si="17"/>
        <v>1</v>
      </c>
    </row>
    <row r="126" spans="2:45" ht="4.95" customHeight="1" x14ac:dyDescent="0.3"/>
    <row r="127" spans="2:45" ht="15" customHeight="1" x14ac:dyDescent="0.3">
      <c r="B127" s="5" t="s">
        <v>23</v>
      </c>
      <c r="C127" s="5"/>
      <c r="D127" s="5"/>
      <c r="E127" s="5"/>
      <c r="F127" s="5"/>
      <c r="G127" s="5"/>
      <c r="AM127" s="18" t="s">
        <v>160</v>
      </c>
      <c r="AN127" s="16" t="s">
        <v>161</v>
      </c>
      <c r="AO127" s="118">
        <f>IF(AND(ISBLANK(AH67),ISBLANK(X125)),1,2)</f>
        <v>1</v>
      </c>
      <c r="AP127" s="18" t="s">
        <v>276</v>
      </c>
      <c r="AQ127" s="18" t="s">
        <v>417</v>
      </c>
      <c r="AR127" s="18" t="s">
        <v>461</v>
      </c>
      <c r="AS127" s="18" t="s">
        <v>79</v>
      </c>
    </row>
    <row r="128" spans="2:45" ht="15" customHeight="1" x14ac:dyDescent="0.3">
      <c r="B128" s="193"/>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5"/>
      <c r="AO128" s="18" t="s">
        <v>78</v>
      </c>
    </row>
    <row r="129" spans="2:40" ht="15" customHeight="1" x14ac:dyDescent="0.3">
      <c r="B129" s="196"/>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8"/>
    </row>
    <row r="130" spans="2:40" ht="15" customHeight="1" x14ac:dyDescent="0.3">
      <c r="B130" s="196"/>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8"/>
    </row>
    <row r="131" spans="2:40" ht="15" customHeight="1" x14ac:dyDescent="0.3">
      <c r="B131" s="196"/>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8"/>
    </row>
    <row r="132" spans="2:40" ht="15" customHeight="1" x14ac:dyDescent="0.3">
      <c r="B132" s="196"/>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8"/>
    </row>
    <row r="133" spans="2:40" ht="15" customHeight="1" x14ac:dyDescent="0.3">
      <c r="B133" s="196"/>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8"/>
    </row>
    <row r="134" spans="2:40" ht="15" customHeight="1" x14ac:dyDescent="0.3">
      <c r="B134" s="196"/>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8"/>
    </row>
    <row r="135" spans="2:40" ht="15" customHeight="1" x14ac:dyDescent="0.3">
      <c r="B135" s="199"/>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1"/>
    </row>
    <row r="136" spans="2:40" ht="4.95" customHeight="1" x14ac:dyDescent="0.3">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row>
    <row r="137" spans="2:40" ht="15" customHeight="1" x14ac:dyDescent="0.3">
      <c r="B137" s="1" t="s">
        <v>142</v>
      </c>
      <c r="C137" s="1"/>
      <c r="D137" s="1"/>
      <c r="E137" s="1"/>
      <c r="F137" s="1"/>
      <c r="G137" s="1"/>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row>
    <row r="138" spans="2:40" ht="15" customHeight="1" x14ac:dyDescent="0.3">
      <c r="C138" s="2"/>
      <c r="E138" s="2" t="s">
        <v>213</v>
      </c>
      <c r="F138" s="181"/>
      <c r="G138" s="181"/>
      <c r="H138" s="181"/>
      <c r="I138" s="181"/>
      <c r="J138" s="181"/>
      <c r="K138" s="181"/>
      <c r="L138" s="181"/>
      <c r="M138" s="181"/>
      <c r="N138" s="181"/>
      <c r="O138" s="181"/>
      <c r="P138" s="181"/>
      <c r="Q138" s="181"/>
      <c r="R138" s="181"/>
      <c r="S138" s="181"/>
      <c r="T138" s="181"/>
      <c r="U138" s="181"/>
      <c r="V138" s="181"/>
    </row>
    <row r="139" spans="2:40" ht="15" customHeight="1" x14ac:dyDescent="0.3">
      <c r="C139" s="2"/>
      <c r="E139" s="2" t="s">
        <v>145</v>
      </c>
      <c r="F139" s="182"/>
      <c r="G139" s="182"/>
      <c r="H139" s="182"/>
      <c r="I139" s="182"/>
      <c r="J139" s="182"/>
      <c r="K139" s="182"/>
      <c r="L139" s="182"/>
      <c r="M139" s="182"/>
      <c r="N139" s="182"/>
      <c r="O139" s="182"/>
      <c r="P139" s="182"/>
      <c r="Q139" s="182"/>
      <c r="R139" s="182"/>
      <c r="S139" s="182"/>
      <c r="T139" s="182"/>
      <c r="U139" s="182"/>
      <c r="V139" s="182"/>
      <c r="W139" s="4"/>
      <c r="X139" s="4"/>
      <c r="Y139" s="4"/>
      <c r="Z139" s="4"/>
      <c r="AA139" s="4"/>
      <c r="AB139" s="4"/>
      <c r="AC139" s="4"/>
      <c r="AD139" s="4"/>
      <c r="AE139" s="4"/>
      <c r="AF139" s="4"/>
      <c r="AG139" s="4"/>
      <c r="AH139" s="4"/>
      <c r="AI139" s="4"/>
      <c r="AJ139" s="4"/>
      <c r="AK139" s="4"/>
    </row>
    <row r="140" spans="2:40" ht="15" customHeight="1" x14ac:dyDescent="0.3">
      <c r="C140" s="2"/>
      <c r="E140" s="2" t="s">
        <v>301</v>
      </c>
      <c r="F140" s="182"/>
      <c r="G140" s="182"/>
      <c r="H140" s="182"/>
      <c r="I140" s="182"/>
      <c r="J140" s="182"/>
      <c r="K140" s="182"/>
      <c r="L140" s="182"/>
      <c r="M140" s="182"/>
      <c r="N140" s="182"/>
      <c r="O140" s="182"/>
      <c r="P140" s="182"/>
      <c r="Q140" s="182"/>
      <c r="R140" s="182"/>
      <c r="S140" s="182"/>
      <c r="T140" s="182"/>
      <c r="U140" s="182"/>
      <c r="V140" s="182"/>
      <c r="X140" s="2"/>
      <c r="Y140" s="2" t="s">
        <v>148</v>
      </c>
      <c r="Z140" s="176"/>
      <c r="AA140" s="176"/>
      <c r="AB140" s="176"/>
      <c r="AC140" s="176"/>
      <c r="AF140" s="2"/>
      <c r="AG140" s="2" t="s">
        <v>149</v>
      </c>
      <c r="AH140" s="246"/>
      <c r="AI140" s="246"/>
      <c r="AJ140" s="246"/>
      <c r="AK140" s="246"/>
    </row>
    <row r="141" spans="2:40" ht="15" customHeight="1" x14ac:dyDescent="0.3">
      <c r="C141" s="2"/>
      <c r="E141" s="2" t="s">
        <v>326</v>
      </c>
      <c r="F141" s="182"/>
      <c r="G141" s="182"/>
      <c r="H141" s="182"/>
      <c r="I141" s="182"/>
      <c r="J141" s="182"/>
      <c r="K141" s="182"/>
      <c r="L141" s="182"/>
      <c r="M141" s="182"/>
      <c r="N141" s="182"/>
      <c r="O141" s="182"/>
      <c r="P141" s="182"/>
      <c r="Q141" s="182"/>
      <c r="R141" s="182"/>
      <c r="S141" s="182"/>
      <c r="T141" s="182"/>
      <c r="U141" s="182"/>
      <c r="V141" s="182"/>
      <c r="X141" s="2"/>
      <c r="Y141" s="2"/>
      <c r="Z141" s="2"/>
      <c r="AA141" s="2"/>
      <c r="AB141" s="2"/>
      <c r="AC141" s="2"/>
      <c r="AD141" s="2"/>
      <c r="AE141" s="2"/>
      <c r="AF141" s="2"/>
      <c r="AG141" s="2"/>
      <c r="AH141" s="2"/>
      <c r="AI141" s="2"/>
      <c r="AJ141" s="148"/>
      <c r="AK141" s="148"/>
    </row>
    <row r="142" spans="2:40" ht="15" customHeight="1" x14ac:dyDescent="0.3">
      <c r="C142" s="2"/>
      <c r="E142" s="2" t="s">
        <v>146</v>
      </c>
      <c r="F142" s="242"/>
      <c r="G142" s="242"/>
      <c r="H142" s="242"/>
      <c r="I142" s="242"/>
      <c r="J142" s="242"/>
      <c r="K142" s="242"/>
      <c r="L142" s="242"/>
      <c r="M142" s="242"/>
      <c r="N142" s="242"/>
      <c r="O142" s="242"/>
      <c r="P142" s="242"/>
      <c r="Q142" s="242"/>
      <c r="R142" s="242"/>
      <c r="S142" s="242"/>
      <c r="T142" s="242"/>
      <c r="U142" s="242"/>
      <c r="V142" s="242"/>
      <c r="X142" s="14"/>
      <c r="Y142" s="14"/>
      <c r="Z142" s="14"/>
      <c r="AA142" s="14"/>
      <c r="AB142" s="14"/>
      <c r="AC142" s="14"/>
      <c r="AD142" s="2" t="s">
        <v>150</v>
      </c>
      <c r="AE142" s="214"/>
      <c r="AF142" s="214"/>
      <c r="AG142" s="214"/>
      <c r="AH142" s="214"/>
      <c r="AI142" s="214"/>
      <c r="AJ142" s="4"/>
      <c r="AK142" s="4"/>
    </row>
    <row r="143" spans="2:40" ht="4.95" customHeight="1" x14ac:dyDescent="0.3">
      <c r="B143" s="2"/>
      <c r="C143" s="2"/>
      <c r="D143" s="2"/>
      <c r="E143" s="2"/>
      <c r="F143" s="2"/>
      <c r="G143" s="2"/>
      <c r="H143" s="50"/>
      <c r="I143" s="50"/>
      <c r="J143" s="50"/>
      <c r="K143" s="50"/>
      <c r="L143" s="50"/>
      <c r="M143" s="50"/>
      <c r="N143" s="50"/>
      <c r="O143" s="50"/>
      <c r="P143" s="50"/>
      <c r="Q143" s="50"/>
      <c r="R143" s="50"/>
      <c r="S143" s="50"/>
      <c r="T143" s="50"/>
      <c r="U143" s="50"/>
      <c r="V143" s="50"/>
      <c r="X143" s="4"/>
      <c r="Y143" s="4"/>
      <c r="Z143" s="4"/>
      <c r="AA143" s="4"/>
      <c r="AB143" s="4"/>
      <c r="AC143" s="4"/>
      <c r="AD143" s="2"/>
      <c r="AE143" s="4"/>
      <c r="AF143" s="4"/>
      <c r="AG143" s="4"/>
      <c r="AH143" s="4"/>
      <c r="AI143" s="4"/>
      <c r="AJ143" s="4"/>
      <c r="AK143" s="4"/>
    </row>
    <row r="144" spans="2:40" ht="15" customHeight="1" x14ac:dyDescent="0.3">
      <c r="B144" s="1" t="s">
        <v>294</v>
      </c>
      <c r="C144" s="1"/>
      <c r="D144" s="1"/>
      <c r="E144" s="1"/>
      <c r="F144" s="1"/>
      <c r="G144" s="1"/>
      <c r="H144" s="4"/>
      <c r="I144" s="4"/>
      <c r="J144" s="4"/>
      <c r="K144" s="4"/>
      <c r="L144" s="4"/>
      <c r="M144" s="4"/>
      <c r="N144" s="4"/>
      <c r="O144" s="4"/>
      <c r="P144" s="4"/>
      <c r="Q144" s="4"/>
      <c r="R144" s="4"/>
      <c r="S144" s="4"/>
      <c r="T144" s="4"/>
      <c r="U144" s="4"/>
      <c r="V144" s="4"/>
      <c r="X144" s="4"/>
      <c r="Y144" s="17"/>
      <c r="Z144" s="34" t="s">
        <v>143</v>
      </c>
      <c r="AA144" s="4"/>
      <c r="AB144" s="4"/>
      <c r="AC144" s="4"/>
      <c r="AH144" s="4"/>
      <c r="AI144" s="4"/>
      <c r="AJ144" s="4"/>
      <c r="AK144" s="4"/>
      <c r="AM144" s="118">
        <f>IF(AND(ISBLANK(F145),ISBLANK(F146),ISBLANK(F147),ISBLANK(F148),ISBLANK(F149),ISBLANK(Z147),ISBLANK(AH147),ISBLANK(AE148),ISBLANK(AE149)),1,2)</f>
        <v>1</v>
      </c>
      <c r="AN144" s="118">
        <f>IF(ISBLANK(Y144),1,2)</f>
        <v>1</v>
      </c>
    </row>
    <row r="145" spans="2:48" ht="15" customHeight="1" x14ac:dyDescent="0.3">
      <c r="C145" s="2"/>
      <c r="E145" s="2" t="s">
        <v>147</v>
      </c>
      <c r="F145" s="181"/>
      <c r="G145" s="181"/>
      <c r="H145" s="181"/>
      <c r="I145" s="181"/>
      <c r="J145" s="181"/>
      <c r="K145" s="181"/>
      <c r="L145" s="181"/>
      <c r="M145" s="181"/>
      <c r="N145" s="181"/>
      <c r="O145" s="181"/>
      <c r="P145" s="181"/>
      <c r="Q145" s="181"/>
      <c r="R145" s="181"/>
      <c r="S145" s="181"/>
      <c r="T145" s="181"/>
      <c r="U145" s="181"/>
      <c r="V145" s="181"/>
    </row>
    <row r="146" spans="2:48" ht="15" customHeight="1" x14ac:dyDescent="0.3">
      <c r="C146" s="2"/>
      <c r="E146" s="2" t="s">
        <v>145</v>
      </c>
      <c r="F146" s="182"/>
      <c r="G146" s="182"/>
      <c r="H146" s="182"/>
      <c r="I146" s="182"/>
      <c r="J146" s="182"/>
      <c r="K146" s="182"/>
      <c r="L146" s="182"/>
      <c r="M146" s="182"/>
      <c r="N146" s="182"/>
      <c r="O146" s="182"/>
      <c r="P146" s="182"/>
      <c r="Q146" s="182"/>
      <c r="R146" s="182"/>
      <c r="S146" s="182"/>
      <c r="T146" s="182"/>
      <c r="U146" s="182"/>
      <c r="V146" s="182"/>
      <c r="AE146" s="4"/>
      <c r="AF146" s="4"/>
      <c r="AG146" s="4"/>
      <c r="AH146" s="4"/>
      <c r="AI146" s="4"/>
      <c r="AJ146" s="4"/>
      <c r="AK146" s="4"/>
    </row>
    <row r="147" spans="2:48" ht="15" customHeight="1" x14ac:dyDescent="0.3">
      <c r="C147" s="2"/>
      <c r="E147" s="2" t="s">
        <v>301</v>
      </c>
      <c r="F147" s="182"/>
      <c r="G147" s="182"/>
      <c r="H147" s="182"/>
      <c r="I147" s="182"/>
      <c r="J147" s="182"/>
      <c r="K147" s="182"/>
      <c r="L147" s="182"/>
      <c r="M147" s="182"/>
      <c r="N147" s="182"/>
      <c r="O147" s="182"/>
      <c r="P147" s="182"/>
      <c r="Q147" s="182"/>
      <c r="R147" s="182"/>
      <c r="S147" s="182"/>
      <c r="T147" s="182"/>
      <c r="U147" s="182"/>
      <c r="V147" s="182"/>
      <c r="X147" s="2"/>
      <c r="Y147" s="2" t="s">
        <v>148</v>
      </c>
      <c r="Z147" s="176"/>
      <c r="AA147" s="176"/>
      <c r="AB147" s="176"/>
      <c r="AC147" s="176"/>
      <c r="AF147" s="2"/>
      <c r="AG147" s="2" t="s">
        <v>149</v>
      </c>
      <c r="AH147" s="245"/>
      <c r="AI147" s="245"/>
      <c r="AJ147" s="245"/>
      <c r="AK147" s="245"/>
    </row>
    <row r="148" spans="2:48" ht="15" customHeight="1" x14ac:dyDescent="0.3">
      <c r="C148" s="2"/>
      <c r="E148" s="2" t="s">
        <v>326</v>
      </c>
      <c r="F148" s="181"/>
      <c r="G148" s="181"/>
      <c r="H148" s="181"/>
      <c r="I148" s="181"/>
      <c r="J148" s="181"/>
      <c r="K148" s="181"/>
      <c r="L148" s="181"/>
      <c r="M148" s="181"/>
      <c r="N148" s="181"/>
      <c r="O148" s="181"/>
      <c r="P148" s="181"/>
      <c r="Q148" s="181"/>
      <c r="R148" s="181"/>
      <c r="S148" s="181"/>
      <c r="T148" s="181"/>
      <c r="U148" s="181"/>
      <c r="V148" s="181"/>
      <c r="W148" s="4"/>
      <c r="X148" s="4"/>
      <c r="Y148" s="4"/>
      <c r="Z148" s="4"/>
      <c r="AA148" s="4"/>
      <c r="AB148" s="4"/>
      <c r="AC148" s="4"/>
      <c r="AD148" s="2" t="s">
        <v>151</v>
      </c>
      <c r="AE148" s="181"/>
      <c r="AF148" s="181"/>
      <c r="AG148" s="181"/>
      <c r="AH148" s="181"/>
      <c r="AI148" s="181"/>
      <c r="AJ148" s="181"/>
      <c r="AK148" s="181"/>
    </row>
    <row r="149" spans="2:48" ht="15" customHeight="1" x14ac:dyDescent="0.3">
      <c r="C149" s="2"/>
      <c r="E149" s="2" t="s">
        <v>146</v>
      </c>
      <c r="F149" s="242"/>
      <c r="G149" s="242"/>
      <c r="H149" s="242"/>
      <c r="I149" s="242"/>
      <c r="J149" s="242"/>
      <c r="K149" s="242"/>
      <c r="L149" s="242"/>
      <c r="M149" s="242"/>
      <c r="N149" s="242"/>
      <c r="O149" s="242"/>
      <c r="P149" s="242"/>
      <c r="Q149" s="242"/>
      <c r="R149" s="242"/>
      <c r="S149" s="242"/>
      <c r="T149" s="242"/>
      <c r="U149" s="242"/>
      <c r="V149" s="242"/>
      <c r="AD149" s="2" t="s">
        <v>150</v>
      </c>
      <c r="AE149" s="243"/>
      <c r="AF149" s="243"/>
      <c r="AG149" s="243"/>
      <c r="AH149" s="243"/>
      <c r="AI149" s="243"/>
    </row>
    <row r="150" spans="2:48" ht="15" customHeight="1" x14ac:dyDescent="0.3">
      <c r="AK150" s="38"/>
    </row>
    <row r="151" spans="2:48" ht="15" customHeight="1" x14ac:dyDescent="0.3">
      <c r="B151" s="186">
        <f>Tables!$C$13</f>
        <v>45566</v>
      </c>
      <c r="C151" s="186"/>
      <c r="D151" s="186"/>
      <c r="E151" s="186"/>
      <c r="F151" s="186"/>
      <c r="G151" s="186"/>
      <c r="H151" s="186"/>
      <c r="R151" s="185" t="s">
        <v>242</v>
      </c>
      <c r="S151" s="185"/>
      <c r="T151" s="185"/>
      <c r="U151" s="185"/>
      <c r="AK151" s="38"/>
    </row>
    <row r="152" spans="2:48" ht="15" customHeight="1" x14ac:dyDescent="0.3">
      <c r="C152" s="2" t="s">
        <v>1</v>
      </c>
      <c r="D152" s="173">
        <f>IF(ISBLANK($E$15),"",$E$15)</f>
        <v>0</v>
      </c>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46"/>
      <c r="AB152" s="46"/>
      <c r="AC152" s="46"/>
      <c r="AF152" s="2" t="s">
        <v>21</v>
      </c>
      <c r="AG152" s="174">
        <f>$AF$15</f>
        <v>0</v>
      </c>
      <c r="AH152" s="174"/>
      <c r="AI152" s="174"/>
      <c r="AJ152" s="174"/>
      <c r="AK152" s="174"/>
    </row>
    <row r="153" spans="2:48" ht="15" customHeight="1" x14ac:dyDescent="0.3">
      <c r="H153" s="47"/>
      <c r="I153" s="47"/>
      <c r="J153" s="2"/>
      <c r="K153" s="2"/>
      <c r="L153" s="2"/>
      <c r="M153" s="47"/>
      <c r="N153" s="46"/>
      <c r="O153" s="46"/>
      <c r="P153" s="46"/>
      <c r="Q153" s="46"/>
      <c r="R153" s="46"/>
      <c r="S153" s="46"/>
      <c r="T153" s="46"/>
      <c r="U153" s="46"/>
      <c r="V153" s="46"/>
      <c r="W153" s="46"/>
      <c r="X153" s="46"/>
      <c r="Y153" s="46"/>
      <c r="Z153" s="46"/>
      <c r="AA153" s="46"/>
      <c r="AB153" s="46"/>
      <c r="AC153" s="46"/>
      <c r="AF153" s="2" t="s">
        <v>35</v>
      </c>
      <c r="AG153" s="224">
        <f>IF(ISBLANK($AF$16),"",$AF$16)</f>
        <v>0</v>
      </c>
      <c r="AH153" s="224"/>
      <c r="AI153" s="224"/>
      <c r="AJ153" s="224"/>
      <c r="AK153" s="224"/>
    </row>
    <row r="154" spans="2:48" ht="15" customHeight="1" x14ac:dyDescent="0.3">
      <c r="B154" s="1" t="s">
        <v>19</v>
      </c>
      <c r="C154" s="1"/>
      <c r="D154" s="1"/>
      <c r="E154" s="1"/>
      <c r="F154" s="1"/>
      <c r="G154" s="1"/>
      <c r="H154" s="1"/>
      <c r="I154" s="1"/>
    </row>
    <row r="155" spans="2:48" ht="15" customHeight="1" x14ac:dyDescent="0.3">
      <c r="B155" s="244" t="s">
        <v>277</v>
      </c>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U155" s="76"/>
      <c r="AV155" s="76"/>
    </row>
    <row r="156" spans="2:48" ht="15" customHeight="1" x14ac:dyDescent="0.3">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row>
    <row r="157" spans="2:48" ht="15" customHeight="1" x14ac:dyDescent="0.3">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row>
    <row r="158" spans="2:48" ht="15" customHeight="1" x14ac:dyDescent="0.3">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row>
    <row r="159" spans="2:48" ht="15" customHeight="1" x14ac:dyDescent="0.3">
      <c r="D159" s="2" t="s">
        <v>213</v>
      </c>
      <c r="E159" s="181"/>
      <c r="F159" s="181"/>
      <c r="G159" s="181"/>
      <c r="H159" s="181"/>
      <c r="I159" s="181"/>
      <c r="J159" s="181"/>
      <c r="K159" s="181"/>
      <c r="L159" s="181"/>
      <c r="M159" s="181"/>
      <c r="N159" s="181"/>
      <c r="O159" s="181"/>
      <c r="P159" s="181"/>
      <c r="Q159" s="181"/>
      <c r="R159" s="181"/>
      <c r="S159" s="181"/>
      <c r="T159" s="181"/>
      <c r="U159" s="181"/>
      <c r="V159" s="181"/>
      <c r="W159" s="181"/>
      <c r="X159" s="181"/>
      <c r="Y159" s="181"/>
      <c r="AB159" s="2" t="s">
        <v>358</v>
      </c>
      <c r="AC159" s="2"/>
      <c r="AD159" s="2"/>
      <c r="AE159" s="2"/>
    </row>
    <row r="160" spans="2:48" ht="15" customHeight="1" x14ac:dyDescent="0.3">
      <c r="D160" s="2" t="s">
        <v>144</v>
      </c>
      <c r="E160" s="182"/>
      <c r="F160" s="182"/>
      <c r="G160" s="182"/>
      <c r="H160" s="182"/>
      <c r="I160" s="182"/>
      <c r="J160" s="182"/>
      <c r="K160" s="182"/>
      <c r="L160" s="182"/>
      <c r="M160" s="182"/>
      <c r="N160" s="182"/>
      <c r="O160" s="182"/>
      <c r="P160" s="182"/>
      <c r="Q160" s="182"/>
      <c r="R160" s="182"/>
      <c r="S160" s="182"/>
      <c r="T160" s="182"/>
      <c r="U160" s="182"/>
      <c r="V160" s="182"/>
      <c r="W160" s="182"/>
      <c r="X160" s="182"/>
      <c r="Y160" s="182"/>
    </row>
    <row r="161" spans="2:42" ht="15" customHeight="1" x14ac:dyDescent="0.3">
      <c r="D161" s="2" t="s">
        <v>145</v>
      </c>
      <c r="E161" s="182"/>
      <c r="F161" s="182"/>
      <c r="G161" s="182"/>
      <c r="H161" s="182"/>
      <c r="I161" s="182"/>
      <c r="J161" s="182"/>
      <c r="K161" s="182"/>
      <c r="L161" s="182"/>
      <c r="M161" s="182"/>
      <c r="N161" s="182"/>
      <c r="O161" s="182"/>
      <c r="P161" s="182"/>
      <c r="Q161" s="182"/>
      <c r="R161" s="182"/>
      <c r="S161" s="182"/>
      <c r="T161" s="182"/>
      <c r="U161" s="182"/>
      <c r="V161" s="182"/>
      <c r="W161" s="182"/>
      <c r="X161" s="182"/>
      <c r="Y161" s="182"/>
    </row>
    <row r="162" spans="2:42" ht="15" customHeight="1" x14ac:dyDescent="0.3">
      <c r="D162" s="2" t="s">
        <v>301</v>
      </c>
      <c r="E162" s="182"/>
      <c r="F162" s="182"/>
      <c r="G162" s="182"/>
      <c r="H162" s="182"/>
      <c r="I162" s="182"/>
      <c r="J162" s="182"/>
      <c r="K162" s="182"/>
      <c r="L162" s="74"/>
      <c r="M162" s="74"/>
      <c r="N162" s="132" t="s">
        <v>148</v>
      </c>
      <c r="O162" s="182"/>
      <c r="P162" s="182"/>
      <c r="Q162" s="182"/>
      <c r="R162" s="182"/>
      <c r="S162" s="74"/>
      <c r="T162" s="74"/>
      <c r="U162" s="74"/>
      <c r="V162" s="132" t="s">
        <v>149</v>
      </c>
      <c r="W162" s="179"/>
      <c r="X162" s="179"/>
      <c r="Y162" s="179"/>
    </row>
    <row r="163" spans="2:42" ht="15" customHeight="1" x14ac:dyDescent="0.3">
      <c r="D163" s="2" t="s">
        <v>146</v>
      </c>
      <c r="E163" s="202"/>
      <c r="F163" s="202"/>
      <c r="G163" s="202"/>
      <c r="H163" s="202"/>
      <c r="I163" s="202"/>
      <c r="J163" s="202"/>
      <c r="K163" s="202"/>
      <c r="L163" s="202"/>
      <c r="M163" s="202"/>
      <c r="N163" s="202"/>
      <c r="O163" s="202"/>
      <c r="P163" s="202"/>
      <c r="Q163" s="202"/>
      <c r="R163" s="202"/>
      <c r="S163" s="202"/>
      <c r="T163" s="202"/>
      <c r="U163" s="202"/>
      <c r="V163" s="202"/>
      <c r="W163" s="202"/>
      <c r="X163" s="202"/>
      <c r="Y163" s="202"/>
    </row>
    <row r="164" spans="2:42" ht="15" customHeight="1" x14ac:dyDescent="0.3">
      <c r="D164" s="2" t="s">
        <v>150</v>
      </c>
      <c r="E164" s="203"/>
      <c r="F164" s="203"/>
      <c r="G164" s="203"/>
      <c r="H164" s="203"/>
      <c r="I164" s="203"/>
      <c r="U164" s="63"/>
      <c r="V164" s="63"/>
      <c r="W164" s="63"/>
    </row>
    <row r="165" spans="2:42" ht="10.050000000000001" customHeight="1" x14ac:dyDescent="0.3">
      <c r="D165" s="2"/>
      <c r="E165" s="74"/>
      <c r="F165" s="74"/>
      <c r="G165" s="74"/>
      <c r="H165" s="74"/>
      <c r="I165" s="74"/>
      <c r="U165" s="63"/>
      <c r="V165" s="63"/>
      <c r="W165" s="63"/>
    </row>
    <row r="166" spans="2:42" ht="15" customHeight="1" x14ac:dyDescent="0.3">
      <c r="D166" s="2" t="s">
        <v>214</v>
      </c>
      <c r="E166" s="102"/>
      <c r="F166" s="102"/>
      <c r="G166" s="102"/>
      <c r="H166" s="102"/>
      <c r="I166" s="102"/>
      <c r="J166" s="102"/>
      <c r="K166" s="102"/>
      <c r="L166" s="102"/>
      <c r="M166" s="102"/>
      <c r="N166" s="102"/>
      <c r="O166" s="102"/>
      <c r="P166" s="102"/>
      <c r="Q166" s="102"/>
      <c r="R166" s="102"/>
      <c r="S166" s="102"/>
      <c r="T166" s="102"/>
      <c r="U166" s="63"/>
      <c r="V166" s="63"/>
      <c r="W166" s="63"/>
      <c r="AB166" s="2" t="s">
        <v>208</v>
      </c>
      <c r="AC166" s="178"/>
      <c r="AD166" s="178"/>
      <c r="AE166" s="178"/>
      <c r="AF166" s="178"/>
      <c r="AG166" s="178"/>
    </row>
    <row r="167" spans="2:42" ht="15" customHeight="1" x14ac:dyDescent="0.3">
      <c r="B167" s="1" t="s">
        <v>101</v>
      </c>
      <c r="F167" s="47"/>
      <c r="G167" s="47"/>
      <c r="H167" s="47"/>
      <c r="I167" s="47"/>
      <c r="J167" s="47"/>
      <c r="K167" s="2"/>
      <c r="L167" s="2"/>
      <c r="M167" s="2"/>
      <c r="N167" s="2"/>
      <c r="O167" s="47"/>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M167" s="16"/>
    </row>
    <row r="168" spans="2:42" ht="15" customHeight="1" x14ac:dyDescent="0.3">
      <c r="D168" s="34" t="s">
        <v>191</v>
      </c>
      <c r="F168" s="34" t="s">
        <v>153</v>
      </c>
      <c r="X168" s="185" t="s">
        <v>323</v>
      </c>
      <c r="Y168" s="185"/>
      <c r="Z168" s="185"/>
      <c r="AA168" s="185"/>
      <c r="AC168" s="185" t="s">
        <v>324</v>
      </c>
      <c r="AD168" s="185"/>
      <c r="AE168" s="185"/>
      <c r="AF168" s="185"/>
      <c r="AG168" s="185"/>
      <c r="AH168" s="185"/>
      <c r="AI168" s="185"/>
      <c r="AM168" s="118">
        <f>SUM(AM172,AM174,AM176,AM178,AM180,AM182)</f>
        <v>6</v>
      </c>
      <c r="AN168" s="18"/>
      <c r="AP168" s="118">
        <f>SUM(AP172,AP174,AP176,AP178,AP180,AP182)</f>
        <v>0</v>
      </c>
    </row>
    <row r="169" spans="2:42" ht="4.95" customHeight="1" x14ac:dyDescent="0.3">
      <c r="AN169" s="18"/>
    </row>
    <row r="170" spans="2:42" ht="15" customHeight="1" x14ac:dyDescent="0.3">
      <c r="D170" s="66"/>
      <c r="F170" s="66"/>
      <c r="H170" s="34" t="s">
        <v>441</v>
      </c>
      <c r="AM170" s="118">
        <f>IF(AND(ISBLANK(D170),ISBLANK(F170)),1,2)</f>
        <v>1</v>
      </c>
      <c r="AN170" s="118">
        <f>IF(ISBLANK(F170),1,2)</f>
        <v>1</v>
      </c>
      <c r="AO170" s="118">
        <f>IF(ISBLANK(D170),1,2)</f>
        <v>1</v>
      </c>
      <c r="AP170" s="118">
        <f>IF(ISBLANK(F170),0,1)</f>
        <v>0</v>
      </c>
    </row>
    <row r="171" spans="2:42" ht="4.95" customHeight="1" x14ac:dyDescent="0.3">
      <c r="AN171" s="18"/>
    </row>
    <row r="172" spans="2:42" ht="15" customHeight="1" x14ac:dyDescent="0.3">
      <c r="D172" s="66"/>
      <c r="F172" s="66"/>
      <c r="H172" s="34" t="s">
        <v>365</v>
      </c>
      <c r="Y172" s="176"/>
      <c r="Z172" s="176"/>
      <c r="AC172" s="247"/>
      <c r="AD172" s="247"/>
      <c r="AE172" s="247"/>
      <c r="AF172" s="247"/>
      <c r="AG172" s="247"/>
      <c r="AH172" s="247"/>
      <c r="AI172" s="247"/>
      <c r="AM172" s="118">
        <f>IF(AND(ISBLANK(D172),ISBLANK(F172)),1,2)</f>
        <v>1</v>
      </c>
      <c r="AN172" s="118">
        <f>IF(ISBLANK(F172),1,2)</f>
        <v>1</v>
      </c>
      <c r="AO172" s="118">
        <f>IF(ISBLANK(D172),1,2)</f>
        <v>1</v>
      </c>
      <c r="AP172" s="118">
        <f>IF(ISBLANK(F172),0,1)</f>
        <v>0</v>
      </c>
    </row>
    <row r="173" spans="2:42" ht="4.95" customHeight="1" x14ac:dyDescent="0.3">
      <c r="AN173" s="18"/>
    </row>
    <row r="174" spans="2:42" ht="15" customHeight="1" x14ac:dyDescent="0.3">
      <c r="D174" s="66"/>
      <c r="F174" s="66"/>
      <c r="H174" s="34" t="s">
        <v>466</v>
      </c>
      <c r="Y174" s="176"/>
      <c r="Z174" s="176"/>
      <c r="AC174" s="247"/>
      <c r="AD174" s="247"/>
      <c r="AE174" s="247"/>
      <c r="AF174" s="247"/>
      <c r="AG174" s="247"/>
      <c r="AH174" s="247"/>
      <c r="AI174" s="247"/>
      <c r="AM174" s="118">
        <f>IF(AND(ISBLANK(D174),ISBLANK(F174)),1,2)</f>
        <v>1</v>
      </c>
      <c r="AN174" s="118">
        <f>IF(ISBLANK(F174),1,2)</f>
        <v>1</v>
      </c>
      <c r="AO174" s="118">
        <f>IF(ISBLANK(D174),1,2)</f>
        <v>1</v>
      </c>
      <c r="AP174" s="118">
        <f>IF(ISBLANK(F174),0,1)</f>
        <v>0</v>
      </c>
    </row>
    <row r="175" spans="2:42" ht="4.95" customHeight="1" x14ac:dyDescent="0.3">
      <c r="AN175" s="18"/>
    </row>
    <row r="176" spans="2:42" ht="15" customHeight="1" x14ac:dyDescent="0.3">
      <c r="D176" s="66"/>
      <c r="F176" s="66"/>
      <c r="H176" s="34" t="s">
        <v>366</v>
      </c>
      <c r="Y176" s="176"/>
      <c r="Z176" s="176"/>
      <c r="AC176" s="247"/>
      <c r="AD176" s="247"/>
      <c r="AE176" s="247"/>
      <c r="AF176" s="247"/>
      <c r="AG176" s="247"/>
      <c r="AH176" s="247"/>
      <c r="AI176" s="247"/>
      <c r="AM176" s="118">
        <f>IF(AND(ISBLANK(D176),ISBLANK(F176)),1,2)</f>
        <v>1</v>
      </c>
      <c r="AN176" s="118">
        <f>IF(ISBLANK(F176),1,2)</f>
        <v>1</v>
      </c>
      <c r="AO176" s="118">
        <f>IF(ISBLANK(D176),1,2)</f>
        <v>1</v>
      </c>
      <c r="AP176" s="118">
        <f>IF(ISBLANK(F176),0,1)</f>
        <v>0</v>
      </c>
    </row>
    <row r="177" spans="2:42" ht="4.95" customHeight="1" x14ac:dyDescent="0.3">
      <c r="AN177" s="18"/>
    </row>
    <row r="178" spans="2:42" ht="15" customHeight="1" x14ac:dyDescent="0.3">
      <c r="D178" s="66"/>
      <c r="F178" s="66"/>
      <c r="H178" s="34" t="s">
        <v>367</v>
      </c>
      <c r="Y178" s="176"/>
      <c r="Z178" s="176"/>
      <c r="AC178" s="247"/>
      <c r="AD178" s="247"/>
      <c r="AE178" s="247"/>
      <c r="AF178" s="247"/>
      <c r="AG178" s="247"/>
      <c r="AH178" s="247"/>
      <c r="AI178" s="247"/>
      <c r="AM178" s="118">
        <f>IF(AND(ISBLANK(D178),ISBLANK(F178)),1,2)</f>
        <v>1</v>
      </c>
      <c r="AN178" s="118">
        <f>IF(ISBLANK(F178),1,2)</f>
        <v>1</v>
      </c>
      <c r="AO178" s="118">
        <f>IF(ISBLANK(D178),1,2)</f>
        <v>1</v>
      </c>
      <c r="AP178" s="118">
        <f>IF(ISBLANK(F178),0,1)</f>
        <v>0</v>
      </c>
    </row>
    <row r="179" spans="2:42" ht="4.95" customHeight="1" x14ac:dyDescent="0.3">
      <c r="C179" s="47"/>
      <c r="D179" s="47"/>
      <c r="E179" s="47"/>
      <c r="F179" s="2"/>
      <c r="G179" s="2"/>
      <c r="J179" s="47"/>
      <c r="K179" s="46"/>
      <c r="L179" s="46"/>
      <c r="M179" s="46"/>
      <c r="N179" s="46"/>
      <c r="O179" s="46"/>
      <c r="X179" s="46"/>
      <c r="Y179" s="46"/>
      <c r="Z179" s="46"/>
      <c r="AA179" s="46"/>
      <c r="AB179" s="46"/>
      <c r="AC179" s="46"/>
      <c r="AD179" s="46"/>
      <c r="AE179" s="46"/>
      <c r="AF179" s="46"/>
      <c r="AG179" s="46"/>
      <c r="AH179" s="46"/>
      <c r="AI179" s="46"/>
      <c r="AJ179" s="46"/>
      <c r="AK179" s="46"/>
      <c r="AM179" s="16"/>
    </row>
    <row r="180" spans="2:42" ht="15" customHeight="1" x14ac:dyDescent="0.3">
      <c r="C180" s="47"/>
      <c r="D180" s="66"/>
      <c r="F180" s="66"/>
      <c r="H180" s="34" t="s">
        <v>442</v>
      </c>
      <c r="Y180" s="176"/>
      <c r="Z180" s="176"/>
      <c r="AC180" s="247"/>
      <c r="AD180" s="247"/>
      <c r="AE180" s="247"/>
      <c r="AF180" s="247"/>
      <c r="AG180" s="247"/>
      <c r="AH180" s="247"/>
      <c r="AI180" s="247"/>
      <c r="AM180" s="118">
        <f>IF(AND(ISBLANK(D180),ISBLANK(F180)),1,2)</f>
        <v>1</v>
      </c>
      <c r="AN180" s="118">
        <f>IF(ISBLANK(F180),1,2)</f>
        <v>1</v>
      </c>
      <c r="AO180" s="118">
        <f>IF(ISBLANK(D180),1,2)</f>
        <v>1</v>
      </c>
      <c r="AP180" s="118">
        <f>IF(ISBLANK(F180),0,1)</f>
        <v>0</v>
      </c>
    </row>
    <row r="181" spans="2:42" ht="4.95" customHeight="1" x14ac:dyDescent="0.3">
      <c r="H181" s="47"/>
      <c r="I181" s="47"/>
      <c r="J181" s="2"/>
      <c r="K181" s="2"/>
      <c r="L181" s="2"/>
      <c r="M181" s="47"/>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row>
    <row r="182" spans="2:42" ht="15" customHeight="1" x14ac:dyDescent="0.3">
      <c r="D182" s="66"/>
      <c r="F182" s="66"/>
      <c r="H182" s="34" t="s">
        <v>368</v>
      </c>
      <c r="Y182" s="176"/>
      <c r="Z182" s="176"/>
      <c r="AC182" s="247"/>
      <c r="AD182" s="247"/>
      <c r="AE182" s="247"/>
      <c r="AF182" s="247"/>
      <c r="AG182" s="247"/>
      <c r="AH182" s="247"/>
      <c r="AI182" s="247"/>
      <c r="AM182" s="118">
        <f>IF(AND(ISBLANK(D182),ISBLANK(F182)),1,2)</f>
        <v>1</v>
      </c>
      <c r="AN182" s="118">
        <f>IF(ISBLANK(F182),1,2)</f>
        <v>1</v>
      </c>
      <c r="AO182" s="118">
        <f>IF(ISBLANK(D182),1,2)</f>
        <v>1</v>
      </c>
      <c r="AP182" s="118">
        <f>IF(ISBLANK(F182),0,1)</f>
        <v>0</v>
      </c>
    </row>
    <row r="183" spans="2:42" ht="4.95" customHeight="1" x14ac:dyDescent="0.3">
      <c r="H183" s="47"/>
      <c r="I183" s="47"/>
      <c r="J183" s="2"/>
      <c r="K183" s="2"/>
      <c r="L183" s="2"/>
      <c r="M183" s="47"/>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row>
    <row r="184" spans="2:42" ht="15" customHeight="1" x14ac:dyDescent="0.3">
      <c r="B184" s="51" t="s">
        <v>88</v>
      </c>
      <c r="C184" s="67"/>
      <c r="D184" s="67"/>
      <c r="E184" s="67"/>
      <c r="F184" s="67"/>
      <c r="G184" s="67"/>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160" t="s">
        <v>438</v>
      </c>
      <c r="AF184" s="248">
        <f>'Form 2B.1 - Design'!$AE$13</f>
        <v>0</v>
      </c>
      <c r="AG184" s="248"/>
      <c r="AH184" s="248"/>
      <c r="AI184" s="248"/>
      <c r="AJ184" s="248"/>
      <c r="AK184" s="248"/>
      <c r="AL184" s="53"/>
      <c r="AM184" s="16" t="s">
        <v>306</v>
      </c>
    </row>
    <row r="185" spans="2:42" ht="15" customHeight="1" x14ac:dyDescent="0.3">
      <c r="B185" s="54"/>
      <c r="C185" s="9"/>
      <c r="D185" s="9"/>
      <c r="E185" s="9"/>
      <c r="F185" s="9"/>
      <c r="G185" s="9"/>
      <c r="H185" s="9"/>
      <c r="I185" s="9"/>
      <c r="J185" s="9"/>
      <c r="K185" s="55" t="s">
        <v>89</v>
      </c>
      <c r="L185" s="55"/>
      <c r="M185" s="56" t="s">
        <v>232</v>
      </c>
      <c r="N185" s="55"/>
      <c r="O185" s="55"/>
      <c r="P185" s="56"/>
      <c r="Q185" s="9"/>
      <c r="R185" s="9"/>
      <c r="S185" s="9"/>
      <c r="T185" s="9"/>
      <c r="U185" s="9"/>
      <c r="V185" s="9"/>
      <c r="W185" s="9"/>
      <c r="X185" s="9"/>
      <c r="Y185" s="9"/>
      <c r="Z185" s="9"/>
      <c r="AA185" s="9"/>
      <c r="AB185" s="9"/>
      <c r="AC185" s="9"/>
      <c r="AD185" s="9"/>
      <c r="AE185" s="9"/>
      <c r="AF185" s="9"/>
      <c r="AG185" s="9"/>
      <c r="AH185" s="9"/>
      <c r="AI185" s="9"/>
      <c r="AJ185" s="9"/>
      <c r="AK185" s="9"/>
      <c r="AL185" s="57"/>
      <c r="AM185" s="118">
        <f>SUM(AM186:AM199)</f>
        <v>11</v>
      </c>
    </row>
    <row r="186" spans="2:42" ht="15" customHeight="1" x14ac:dyDescent="0.3">
      <c r="B186" s="54"/>
      <c r="C186" s="9"/>
      <c r="D186" s="9"/>
      <c r="E186" s="9"/>
      <c r="F186" s="9"/>
      <c r="G186" s="9"/>
      <c r="H186" s="9"/>
      <c r="I186" s="9"/>
      <c r="J186" s="9"/>
      <c r="K186" s="10" t="str">
        <f>IF(Tables!C25=0,"",Tables!C25&amp;":")</f>
        <v>ENG No.:</v>
      </c>
      <c r="L186" s="55"/>
      <c r="M186" s="9" t="str">
        <f>IF(AM14=0,"",IF(ISBLANK(AF14),Tables!G13,""))</f>
        <v>ENG No. has not been provided</v>
      </c>
      <c r="N186" s="55"/>
      <c r="O186" s="55"/>
      <c r="P186" s="56"/>
      <c r="Q186" s="9"/>
      <c r="R186" s="9"/>
      <c r="S186" s="9"/>
      <c r="T186" s="9"/>
      <c r="U186" s="9"/>
      <c r="V186" s="9"/>
      <c r="W186" s="9"/>
      <c r="X186" s="9"/>
      <c r="Y186" s="9"/>
      <c r="Z186" s="9"/>
      <c r="AA186" s="9"/>
      <c r="AB186" s="9"/>
      <c r="AC186" s="9"/>
      <c r="AD186" s="9"/>
      <c r="AE186" s="9"/>
      <c r="AF186" s="9"/>
      <c r="AG186" s="9"/>
      <c r="AH186" s="9"/>
      <c r="AI186" s="9"/>
      <c r="AJ186" s="9"/>
      <c r="AK186" s="9"/>
      <c r="AL186" s="57"/>
      <c r="AM186" s="118">
        <f t="shared" ref="AM186:AM197" si="18">IF(M186="",0,1)</f>
        <v>1</v>
      </c>
    </row>
    <row r="187" spans="2:42" ht="15" customHeight="1" x14ac:dyDescent="0.3">
      <c r="B187" s="54"/>
      <c r="C187" s="9"/>
      <c r="D187" s="9"/>
      <c r="E187" s="9"/>
      <c r="F187" s="9"/>
      <c r="G187" s="9"/>
      <c r="H187" s="9"/>
      <c r="I187" s="9"/>
      <c r="J187" s="9"/>
      <c r="K187" s="10" t="s">
        <v>92</v>
      </c>
      <c r="L187" s="10"/>
      <c r="M187" s="9" t="str">
        <f>IF(AM64&lt;6,Tables!G4,"")</f>
        <v>Emergency Spillway Section not completed</v>
      </c>
      <c r="N187" s="10"/>
      <c r="O187" s="10"/>
      <c r="P187" s="9"/>
      <c r="Q187" s="9"/>
      <c r="R187" s="9"/>
      <c r="S187" s="9"/>
      <c r="T187" s="9"/>
      <c r="U187" s="9"/>
      <c r="V187" s="9"/>
      <c r="W187" s="9"/>
      <c r="X187" s="9"/>
      <c r="Y187" s="9"/>
      <c r="Z187" s="9"/>
      <c r="AA187" s="9"/>
      <c r="AB187" s="9"/>
      <c r="AC187" s="9"/>
      <c r="AD187" s="9"/>
      <c r="AE187" s="9"/>
      <c r="AF187" s="9"/>
      <c r="AG187" s="9"/>
      <c r="AH187" s="9"/>
      <c r="AI187" s="9"/>
      <c r="AJ187" s="9"/>
      <c r="AK187" s="9"/>
      <c r="AL187" s="57"/>
      <c r="AM187" s="118">
        <f t="shared" si="18"/>
        <v>1</v>
      </c>
    </row>
    <row r="188" spans="2:42" ht="15" customHeight="1" x14ac:dyDescent="0.3">
      <c r="B188" s="54"/>
      <c r="C188" s="9"/>
      <c r="D188" s="9"/>
      <c r="E188" s="9"/>
      <c r="F188" s="9"/>
      <c r="G188" s="9"/>
      <c r="H188" s="9"/>
      <c r="I188" s="9"/>
      <c r="J188" s="9"/>
      <c r="K188" s="10" t="s">
        <v>299</v>
      </c>
      <c r="L188" s="10"/>
      <c r="M188" s="9" t="str">
        <f>IF(OR(AO124&lt;1,AO125&lt;1),Tables!G11,"")</f>
        <v>Freeboard  &lt;  1.0 ft</v>
      </c>
      <c r="N188" s="10"/>
      <c r="O188" s="10"/>
      <c r="P188" s="9"/>
      <c r="Q188" s="9"/>
      <c r="R188" s="9"/>
      <c r="S188" s="9"/>
      <c r="T188" s="9"/>
      <c r="U188" s="9"/>
      <c r="V188" s="9"/>
      <c r="W188" s="9"/>
      <c r="X188" s="9"/>
      <c r="Y188" s="9"/>
      <c r="Z188" s="9"/>
      <c r="AA188" s="9"/>
      <c r="AB188" s="9"/>
      <c r="AC188" s="9"/>
      <c r="AD188" s="9"/>
      <c r="AE188" s="9"/>
      <c r="AF188" s="9"/>
      <c r="AG188" s="9"/>
      <c r="AH188" s="9"/>
      <c r="AI188" s="9"/>
      <c r="AJ188" s="9"/>
      <c r="AK188" s="9"/>
      <c r="AL188" s="57"/>
      <c r="AM188" s="118">
        <f t="shared" si="18"/>
        <v>1</v>
      </c>
    </row>
    <row r="189" spans="2:42" ht="15" customHeight="1" x14ac:dyDescent="0.3">
      <c r="B189" s="54"/>
      <c r="C189" s="9"/>
      <c r="D189" s="9"/>
      <c r="E189" s="9"/>
      <c r="F189" s="9"/>
      <c r="G189" s="9"/>
      <c r="H189" s="9"/>
      <c r="I189" s="9"/>
      <c r="J189" s="9"/>
      <c r="K189" s="10" t="s">
        <v>115</v>
      </c>
      <c r="L189" s="10"/>
      <c r="M189" s="9" t="str">
        <f>IF(AO71&lt;2,Tables!G8,"")</f>
        <v>Latitude and/or Longitude not provided</v>
      </c>
      <c r="N189" s="10"/>
      <c r="O189" s="10"/>
      <c r="P189" s="9"/>
      <c r="Q189" s="9"/>
      <c r="R189" s="9"/>
      <c r="S189" s="9"/>
      <c r="T189" s="9"/>
      <c r="U189" s="9"/>
      <c r="V189" s="9"/>
      <c r="W189" s="9"/>
      <c r="X189" s="9"/>
      <c r="Y189" s="9"/>
      <c r="Z189" s="9"/>
      <c r="AA189" s="9"/>
      <c r="AB189" s="9"/>
      <c r="AC189" s="9"/>
      <c r="AD189" s="9"/>
      <c r="AE189" s="9"/>
      <c r="AF189" s="9"/>
      <c r="AG189" s="9"/>
      <c r="AH189" s="9"/>
      <c r="AI189" s="9"/>
      <c r="AJ189" s="9"/>
      <c r="AK189" s="9"/>
      <c r="AL189" s="57"/>
      <c r="AM189" s="118">
        <f t="shared" si="18"/>
        <v>1</v>
      </c>
    </row>
    <row r="190" spans="2:42" ht="15" customHeight="1" x14ac:dyDescent="0.3">
      <c r="B190" s="54"/>
      <c r="C190" s="9"/>
      <c r="D190" s="9"/>
      <c r="E190" s="9"/>
      <c r="F190" s="9"/>
      <c r="G190" s="9"/>
      <c r="H190" s="9"/>
      <c r="I190" s="9"/>
      <c r="J190" s="9"/>
      <c r="K190" s="10" t="s">
        <v>157</v>
      </c>
      <c r="L190" s="10"/>
      <c r="M190" s="9" t="str">
        <f>IF(AO75=2,Tables!G9,IF(AO74=1,"",Tables!G9))</f>
        <v>WQv Required &gt; WQv Provided</v>
      </c>
      <c r="N190" s="10"/>
      <c r="O190" s="10"/>
      <c r="P190" s="9"/>
      <c r="Q190" s="9"/>
      <c r="R190" s="9"/>
      <c r="S190" s="9"/>
      <c r="T190" s="9"/>
      <c r="U190" s="9"/>
      <c r="V190" s="9"/>
      <c r="W190" s="9"/>
      <c r="X190" s="9"/>
      <c r="Y190" s="9"/>
      <c r="Z190" s="9"/>
      <c r="AA190" s="9"/>
      <c r="AB190" s="9"/>
      <c r="AC190" s="9"/>
      <c r="AD190" s="9"/>
      <c r="AE190" s="9"/>
      <c r="AF190" s="9"/>
      <c r="AG190" s="9"/>
      <c r="AH190" s="9"/>
      <c r="AI190" s="9"/>
      <c r="AJ190" s="9"/>
      <c r="AK190" s="9"/>
      <c r="AL190" s="57"/>
      <c r="AM190" s="118">
        <f t="shared" si="18"/>
        <v>1</v>
      </c>
    </row>
    <row r="191" spans="2:42" ht="15" customHeight="1" x14ac:dyDescent="0.3">
      <c r="B191" s="54"/>
      <c r="C191" s="9"/>
      <c r="D191" s="9"/>
      <c r="E191" s="9"/>
      <c r="F191" s="9"/>
      <c r="G191" s="9"/>
      <c r="H191" s="9"/>
      <c r="I191" s="9"/>
      <c r="J191" s="9"/>
      <c r="K191" s="130" t="s">
        <v>93</v>
      </c>
      <c r="L191" s="10"/>
      <c r="M191" s="9"/>
      <c r="N191" s="10"/>
      <c r="O191" s="10"/>
      <c r="P191" s="9"/>
      <c r="Q191" s="9"/>
      <c r="R191" s="9"/>
      <c r="S191" s="9"/>
      <c r="T191" s="9"/>
      <c r="U191" s="9"/>
      <c r="V191" s="9"/>
      <c r="W191" s="9"/>
      <c r="X191" s="9"/>
      <c r="Y191" s="9"/>
      <c r="Z191" s="9"/>
      <c r="AA191" s="9"/>
      <c r="AB191" s="9"/>
      <c r="AC191" s="9"/>
      <c r="AD191" s="9"/>
      <c r="AE191" s="9"/>
      <c r="AF191" s="9"/>
      <c r="AG191" s="9"/>
      <c r="AH191" s="9"/>
      <c r="AI191" s="9"/>
      <c r="AJ191" s="9"/>
      <c r="AK191" s="9"/>
      <c r="AL191" s="57"/>
      <c r="AM191" s="118">
        <f t="shared" si="18"/>
        <v>0</v>
      </c>
    </row>
    <row r="192" spans="2:42" ht="15" customHeight="1" x14ac:dyDescent="0.3">
      <c r="B192" s="54"/>
      <c r="C192" s="9"/>
      <c r="D192" s="9"/>
      <c r="E192" s="9"/>
      <c r="F192" s="9"/>
      <c r="G192" s="9"/>
      <c r="H192" s="9"/>
      <c r="I192" s="9"/>
      <c r="J192" s="9"/>
      <c r="K192" s="10" t="s">
        <v>162</v>
      </c>
      <c r="L192" s="10"/>
      <c r="M192" s="9" t="str">
        <f>IF(AM119&gt;0,Tables!G10,"")</f>
        <v>As-Built does not match Design, provide a reason in the Comments section</v>
      </c>
      <c r="N192" s="10"/>
      <c r="O192" s="10"/>
      <c r="P192" s="9"/>
      <c r="Q192" s="9"/>
      <c r="R192" s="9"/>
      <c r="S192" s="9"/>
      <c r="T192" s="9"/>
      <c r="U192" s="9"/>
      <c r="V192" s="9"/>
      <c r="W192" s="9"/>
      <c r="X192" s="9"/>
      <c r="Y192" s="9"/>
      <c r="Z192" s="9"/>
      <c r="AA192" s="9"/>
      <c r="AB192" s="9"/>
      <c r="AC192" s="9"/>
      <c r="AD192" s="9"/>
      <c r="AE192" s="9"/>
      <c r="AF192" s="9"/>
      <c r="AG192" s="9"/>
      <c r="AH192" s="9"/>
      <c r="AI192" s="9"/>
      <c r="AJ192" s="9"/>
      <c r="AK192" s="9"/>
      <c r="AL192" s="57"/>
      <c r="AM192" s="118">
        <f t="shared" si="18"/>
        <v>1</v>
      </c>
    </row>
    <row r="193" spans="2:39" ht="15" customHeight="1" x14ac:dyDescent="0.3">
      <c r="B193" s="54"/>
      <c r="C193" s="9"/>
      <c r="D193" s="9"/>
      <c r="E193" s="9"/>
      <c r="F193" s="9"/>
      <c r="G193" s="9"/>
      <c r="H193" s="9"/>
      <c r="I193" s="9"/>
      <c r="J193" s="9"/>
      <c r="K193" s="10" t="s">
        <v>163</v>
      </c>
      <c r="L193" s="10"/>
      <c r="M193" s="9" t="str">
        <f>IF(AN119&gt;0,Tables!G10,"")</f>
        <v>As-Built does not match Design, provide a reason in the Comments section</v>
      </c>
      <c r="N193" s="10"/>
      <c r="O193" s="10"/>
      <c r="P193" s="9"/>
      <c r="Q193" s="9"/>
      <c r="R193" s="9"/>
      <c r="S193" s="9"/>
      <c r="T193" s="9"/>
      <c r="U193" s="9"/>
      <c r="V193" s="9"/>
      <c r="W193" s="9"/>
      <c r="X193" s="9"/>
      <c r="Y193" s="9"/>
      <c r="Z193" s="9"/>
      <c r="AA193" s="9"/>
      <c r="AB193" s="9"/>
      <c r="AC193" s="9"/>
      <c r="AD193" s="9"/>
      <c r="AE193" s="9"/>
      <c r="AF193" s="9"/>
      <c r="AG193" s="9"/>
      <c r="AH193" s="9"/>
      <c r="AI193" s="9"/>
      <c r="AJ193" s="9"/>
      <c r="AK193" s="9"/>
      <c r="AL193" s="57"/>
      <c r="AM193" s="118">
        <f t="shared" si="18"/>
        <v>1</v>
      </c>
    </row>
    <row r="194" spans="2:39" ht="15" customHeight="1" x14ac:dyDescent="0.3">
      <c r="B194" s="54"/>
      <c r="C194" s="9"/>
      <c r="D194" s="9"/>
      <c r="E194" s="9"/>
      <c r="F194" s="9"/>
      <c r="G194" s="9"/>
      <c r="H194" s="9"/>
      <c r="I194" s="9"/>
      <c r="J194" s="9"/>
      <c r="K194" s="10" t="s">
        <v>87</v>
      </c>
      <c r="L194" s="10"/>
      <c r="M194" s="9" t="str">
        <f>IF(AO119&gt;0,Tables!G7,"")</f>
        <v>Max Stage for 2, 5, 10, and/or 25-year storm  &gt; Emergency Spillway Crest Elevation</v>
      </c>
      <c r="N194" s="10"/>
      <c r="O194" s="10"/>
      <c r="P194" s="9"/>
      <c r="Q194" s="9"/>
      <c r="R194" s="9"/>
      <c r="S194" s="9"/>
      <c r="T194" s="9"/>
      <c r="U194" s="9"/>
      <c r="V194" s="9"/>
      <c r="W194" s="9"/>
      <c r="X194" s="9"/>
      <c r="Y194" s="9"/>
      <c r="Z194" s="9"/>
      <c r="AA194" s="9"/>
      <c r="AB194" s="9"/>
      <c r="AC194" s="9"/>
      <c r="AD194" s="9"/>
      <c r="AE194" s="9"/>
      <c r="AF194" s="9"/>
      <c r="AG194" s="9"/>
      <c r="AH194" s="9"/>
      <c r="AI194" s="9"/>
      <c r="AJ194" s="9"/>
      <c r="AK194" s="9"/>
      <c r="AL194" s="57"/>
      <c r="AM194" s="118">
        <f t="shared" si="18"/>
        <v>1</v>
      </c>
    </row>
    <row r="195" spans="2:39" ht="15" customHeight="1" x14ac:dyDescent="0.3">
      <c r="B195" s="54"/>
      <c r="C195" s="9"/>
      <c r="D195" s="9"/>
      <c r="E195" s="9"/>
      <c r="F195" s="9"/>
      <c r="G195" s="9"/>
      <c r="H195" s="9"/>
      <c r="I195" s="9"/>
      <c r="J195" s="9"/>
      <c r="K195" s="10" t="s">
        <v>246</v>
      </c>
      <c r="L195" s="10"/>
      <c r="M195" s="9" t="str">
        <f>IF(AP119&gt;0,Tables!G6,"")</f>
        <v>Velocity &gt; 6 ft/s</v>
      </c>
      <c r="N195" s="10"/>
      <c r="O195" s="10"/>
      <c r="P195" s="9"/>
      <c r="Q195" s="9"/>
      <c r="R195" s="9"/>
      <c r="S195" s="9"/>
      <c r="T195" s="9"/>
      <c r="U195" s="9"/>
      <c r="V195" s="9"/>
      <c r="W195" s="9"/>
      <c r="X195" s="9"/>
      <c r="Y195" s="9"/>
      <c r="Z195" s="9"/>
      <c r="AA195" s="9"/>
      <c r="AB195" s="9"/>
      <c r="AC195" s="9"/>
      <c r="AD195" s="9"/>
      <c r="AE195" s="9"/>
      <c r="AF195" s="9"/>
      <c r="AG195" s="9"/>
      <c r="AH195" s="9"/>
      <c r="AI195" s="9"/>
      <c r="AJ195" s="9"/>
      <c r="AK195" s="9"/>
      <c r="AL195" s="57"/>
      <c r="AM195" s="118">
        <f t="shared" si="18"/>
        <v>1</v>
      </c>
    </row>
    <row r="196" spans="2:39" ht="15" customHeight="1" x14ac:dyDescent="0.3">
      <c r="B196" s="54"/>
      <c r="C196" s="9"/>
      <c r="D196" s="9"/>
      <c r="E196" s="9"/>
      <c r="F196" s="9"/>
      <c r="G196" s="9"/>
      <c r="H196" s="9"/>
      <c r="I196" s="9"/>
      <c r="J196" s="9"/>
      <c r="K196" s="10" t="s">
        <v>94</v>
      </c>
      <c r="L196" s="10"/>
      <c r="M196" s="9" t="str">
        <f>IF(OR(AQ119&gt;0,AS119&gt;0),Tables!G5,"")</f>
        <v>Total Post Q &gt; Pre Q</v>
      </c>
      <c r="N196" s="10"/>
      <c r="O196" s="10"/>
      <c r="P196" s="9"/>
      <c r="Q196" s="9"/>
      <c r="R196" s="9"/>
      <c r="S196" s="9"/>
      <c r="T196" s="9"/>
      <c r="U196" s="9"/>
      <c r="V196" s="9"/>
      <c r="W196" s="9"/>
      <c r="X196" s="9"/>
      <c r="Y196" s="9"/>
      <c r="Z196" s="9"/>
      <c r="AA196" s="9"/>
      <c r="AB196" s="9"/>
      <c r="AC196" s="9"/>
      <c r="AD196" s="9"/>
      <c r="AE196" s="9"/>
      <c r="AF196" s="9"/>
      <c r="AG196" s="9"/>
      <c r="AH196" s="9"/>
      <c r="AI196" s="9"/>
      <c r="AJ196" s="9"/>
      <c r="AK196" s="9"/>
      <c r="AL196" s="57"/>
      <c r="AM196" s="118">
        <f t="shared" si="18"/>
        <v>1</v>
      </c>
    </row>
    <row r="197" spans="2:39" ht="15" customHeight="1" x14ac:dyDescent="0.3">
      <c r="B197" s="54"/>
      <c r="C197" s="9"/>
      <c r="D197" s="9"/>
      <c r="E197" s="9"/>
      <c r="F197" s="9"/>
      <c r="G197" s="9"/>
      <c r="H197" s="9"/>
      <c r="I197" s="9"/>
      <c r="J197" s="9"/>
      <c r="K197" s="10"/>
      <c r="L197" s="10"/>
      <c r="M197" s="9" t="str">
        <f>IF(AQ113="yes",IF(AND(ISBLANK('Form 2B.1 - Design'!$C$153),ISBLANK('Form 2B.1 - Design'!$F$153)),Tables!$G$15,IF(AND($AQ$119&gt;0,$AP$113=2),Tables!$G$15,"")),"")</f>
        <v/>
      </c>
      <c r="N197" s="10"/>
      <c r="O197" s="10"/>
      <c r="P197" s="9"/>
      <c r="Q197" s="9"/>
      <c r="R197" s="9"/>
      <c r="S197" s="9"/>
      <c r="T197" s="9"/>
      <c r="U197" s="9"/>
      <c r="V197" s="9"/>
      <c r="W197" s="9"/>
      <c r="X197" s="9"/>
      <c r="Y197" s="9"/>
      <c r="Z197" s="9"/>
      <c r="AA197" s="9"/>
      <c r="AB197" s="9"/>
      <c r="AC197" s="9"/>
      <c r="AD197" s="9"/>
      <c r="AE197" s="9"/>
      <c r="AF197" s="9"/>
      <c r="AG197" s="9"/>
      <c r="AH197" s="9"/>
      <c r="AI197" s="9"/>
      <c r="AJ197" s="9"/>
      <c r="AK197" s="9"/>
      <c r="AL197" s="57"/>
      <c r="AM197" s="118">
        <f t="shared" si="18"/>
        <v>0</v>
      </c>
    </row>
    <row r="198" spans="2:39" ht="15" customHeight="1" x14ac:dyDescent="0.3">
      <c r="B198" s="54"/>
      <c r="C198" s="9"/>
      <c r="D198" s="9"/>
      <c r="E198" s="9"/>
      <c r="F198" s="9"/>
      <c r="G198" s="9"/>
      <c r="H198" s="9"/>
      <c r="I198" s="9"/>
      <c r="J198" s="9"/>
      <c r="K198" s="10"/>
      <c r="L198" s="10"/>
      <c r="M198" s="9" t="str">
        <f>IF(AQ114="Yes",IF(AND(ISBLANK('Form 2B.1 - Design'!$C$155),ISBLANK('Form 2B.1 - Design'!$F$155)),Tables!$G$16,IF(AND($AQ$119&gt;0,$AP$114=2),Tables!$G$16,"")),"")</f>
        <v/>
      </c>
      <c r="N198" s="10"/>
      <c r="O198" s="10"/>
      <c r="P198" s="9"/>
      <c r="Q198" s="9"/>
      <c r="R198" s="9"/>
      <c r="S198" s="9"/>
      <c r="T198" s="9"/>
      <c r="U198" s="9"/>
      <c r="V198" s="9"/>
      <c r="W198" s="9"/>
      <c r="X198" s="9"/>
      <c r="Y198" s="9"/>
      <c r="Z198" s="9"/>
      <c r="AA198" s="9"/>
      <c r="AB198" s="9"/>
      <c r="AC198" s="9"/>
      <c r="AD198" s="9"/>
      <c r="AE198" s="9"/>
      <c r="AF198" s="9"/>
      <c r="AG198" s="9"/>
      <c r="AH198" s="9"/>
      <c r="AI198" s="9"/>
      <c r="AJ198" s="9"/>
      <c r="AK198" s="9"/>
      <c r="AL198" s="57"/>
      <c r="AM198" s="118">
        <f>IF(M198="",0,1)</f>
        <v>0</v>
      </c>
    </row>
    <row r="199" spans="2:39" ht="15" customHeight="1" x14ac:dyDescent="0.3">
      <c r="B199" s="58"/>
      <c r="C199" s="59"/>
      <c r="D199" s="59"/>
      <c r="E199" s="59"/>
      <c r="F199" s="59"/>
      <c r="G199" s="59"/>
      <c r="H199" s="59"/>
      <c r="I199" s="59"/>
      <c r="J199" s="59"/>
      <c r="K199" s="149" t="s">
        <v>445</v>
      </c>
      <c r="L199" s="60"/>
      <c r="M199" s="150" t="str">
        <f>IF(AM168=6,Tables!G17,IF(AP168&gt;0,Tables!G17,0))</f>
        <v>All required photographs are not provided</v>
      </c>
      <c r="N199" s="60"/>
      <c r="O199" s="60"/>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61"/>
      <c r="AM199" s="118">
        <f>IF(M199="",0,1)</f>
        <v>1</v>
      </c>
    </row>
    <row r="200" spans="2:39" ht="15" customHeight="1" x14ac:dyDescent="0.3">
      <c r="B200" s="186">
        <f>Tables!$C$13</f>
        <v>45566</v>
      </c>
      <c r="C200" s="186"/>
      <c r="D200" s="186"/>
      <c r="E200" s="186"/>
      <c r="F200" s="186"/>
      <c r="G200" s="186"/>
      <c r="H200" s="186"/>
      <c r="R200" s="185" t="s">
        <v>241</v>
      </c>
      <c r="S200" s="185"/>
      <c r="T200" s="185"/>
      <c r="U200" s="185"/>
      <c r="AK200" s="38"/>
    </row>
    <row r="201" spans="2:39" ht="15" customHeight="1" x14ac:dyDescent="0.3"/>
    <row r="202" spans="2:39" ht="15" customHeight="1" x14ac:dyDescent="0.3"/>
    <row r="203" spans="2:39" ht="15" customHeight="1" x14ac:dyDescent="0.3"/>
    <row r="204" spans="2:39" ht="15" hidden="1" customHeight="1" x14ac:dyDescent="0.3"/>
    <row r="205" spans="2:39" ht="15" hidden="1" customHeight="1" x14ac:dyDescent="0.3"/>
    <row r="206" spans="2:39" ht="15" hidden="1" customHeight="1" x14ac:dyDescent="0.3"/>
    <row r="207" spans="2:39" ht="15" hidden="1" customHeight="1" x14ac:dyDescent="0.3"/>
    <row r="208" spans="2:39"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sheetData>
  <sheetProtection algorithmName="SHA-512" hashValue="N8PQ6tiX7KMqZ8SlOUgXcWPnaJRGUAnEgyNFqlavpRVbUGXcpQqy5/N+IrUznYtWeblN3zQl9FyWaF3rDRR0xQ==" saltValue="aK3DEBS1iXqFsyr6a9LIWg==" spinCount="100000" sheet="1" objects="1" scenarios="1" selectLockedCells="1"/>
  <mergeCells count="503">
    <mergeCell ref="AF184:AK184"/>
    <mergeCell ref="AE95:AF95"/>
    <mergeCell ref="AE96:AF96"/>
    <mergeCell ref="AE97:AF97"/>
    <mergeCell ref="M74:N74"/>
    <mergeCell ref="AG74:AH74"/>
    <mergeCell ref="AE98:AF98"/>
    <mergeCell ref="AE99:AF99"/>
    <mergeCell ref="AK80:AL80"/>
    <mergeCell ref="AK81:AL81"/>
    <mergeCell ref="AK82:AL82"/>
    <mergeCell ref="AK83:AL83"/>
    <mergeCell ref="AK84:AL84"/>
    <mergeCell ref="AK85:AL85"/>
    <mergeCell ref="AK86:AL86"/>
    <mergeCell ref="AK87:AL87"/>
    <mergeCell ref="AK88:AL88"/>
    <mergeCell ref="AK89:AL89"/>
    <mergeCell ref="AK90:AL90"/>
    <mergeCell ref="AK91:AL91"/>
    <mergeCell ref="AE85:AF85"/>
    <mergeCell ref="AE86:AF86"/>
    <mergeCell ref="AE87:AF87"/>
    <mergeCell ref="AE88:AF88"/>
    <mergeCell ref="AE89:AF89"/>
    <mergeCell ref="AE90:AF90"/>
    <mergeCell ref="AE91:AF91"/>
    <mergeCell ref="AE92:AF92"/>
    <mergeCell ref="AE93:AF93"/>
    <mergeCell ref="Q85:R85"/>
    <mergeCell ref="Q86:R86"/>
    <mergeCell ref="Q87:R87"/>
    <mergeCell ref="Q88:R88"/>
    <mergeCell ref="Q89:R89"/>
    <mergeCell ref="Q90:R90"/>
    <mergeCell ref="Q91:R91"/>
    <mergeCell ref="Q92:R92"/>
    <mergeCell ref="Q93:R93"/>
    <mergeCell ref="V92:X92"/>
    <mergeCell ref="V93:X93"/>
    <mergeCell ref="AA25:AC25"/>
    <mergeCell ref="AC172:AI172"/>
    <mergeCell ref="E39:G39"/>
    <mergeCell ref="E40:G40"/>
    <mergeCell ref="N39:P39"/>
    <mergeCell ref="N40:P40"/>
    <mergeCell ref="E159:Y159"/>
    <mergeCell ref="E160:Y160"/>
    <mergeCell ref="E161:Y161"/>
    <mergeCell ref="E162:K162"/>
    <mergeCell ref="O162:R162"/>
    <mergeCell ref="W162:Y162"/>
    <mergeCell ref="S122:V122"/>
    <mergeCell ref="B128:AK135"/>
    <mergeCell ref="AC119:AF119"/>
    <mergeCell ref="M80:P80"/>
    <mergeCell ref="M84:P84"/>
    <mergeCell ref="K80:L80"/>
    <mergeCell ref="K81:L81"/>
    <mergeCell ref="K82:L82"/>
    <mergeCell ref="K83:L83"/>
    <mergeCell ref="K96:L96"/>
    <mergeCell ref="K97:L97"/>
    <mergeCell ref="K98:L98"/>
    <mergeCell ref="AU6:BH7"/>
    <mergeCell ref="E163:Y163"/>
    <mergeCell ref="E164:I164"/>
    <mergeCell ref="AC166:AG166"/>
    <mergeCell ref="I114:L114"/>
    <mergeCell ref="I115:L115"/>
    <mergeCell ref="S120:V120"/>
    <mergeCell ref="I111:L111"/>
    <mergeCell ref="N111:Q111"/>
    <mergeCell ref="M96:P96"/>
    <mergeCell ref="N120:Q120"/>
    <mergeCell ref="N121:Q121"/>
    <mergeCell ref="AG108:AK108"/>
    <mergeCell ref="M97:P97"/>
    <mergeCell ref="F145:V145"/>
    <mergeCell ref="F146:V146"/>
    <mergeCell ref="E38:G38"/>
    <mergeCell ref="G22:I22"/>
    <mergeCell ref="G23:I23"/>
    <mergeCell ref="G24:I24"/>
    <mergeCell ref="G25:I25"/>
    <mergeCell ref="AA22:AC22"/>
    <mergeCell ref="AA23:AC23"/>
    <mergeCell ref="AA24:AC24"/>
    <mergeCell ref="B200:H200"/>
    <mergeCell ref="R200:U200"/>
    <mergeCell ref="X168:AA168"/>
    <mergeCell ref="Y172:Z172"/>
    <mergeCell ref="Y174:Z174"/>
    <mergeCell ref="Y176:Z176"/>
    <mergeCell ref="Y178:Z178"/>
    <mergeCell ref="Y180:Z180"/>
    <mergeCell ref="F138:V138"/>
    <mergeCell ref="F139:V139"/>
    <mergeCell ref="F140:V140"/>
    <mergeCell ref="B155:AL158"/>
    <mergeCell ref="AH147:AK147"/>
    <mergeCell ref="Z147:AC147"/>
    <mergeCell ref="Z140:AC140"/>
    <mergeCell ref="AH140:AK140"/>
    <mergeCell ref="AC174:AI174"/>
    <mergeCell ref="AC168:AI168"/>
    <mergeCell ref="AC176:AI176"/>
    <mergeCell ref="AC178:AI178"/>
    <mergeCell ref="AC180:AI180"/>
    <mergeCell ref="Y182:Z182"/>
    <mergeCell ref="AC182:AI182"/>
    <mergeCell ref="AG153:AK153"/>
    <mergeCell ref="AE142:AI142"/>
    <mergeCell ref="AE149:AI149"/>
    <mergeCell ref="F141:V141"/>
    <mergeCell ref="F147:V147"/>
    <mergeCell ref="F148:V148"/>
    <mergeCell ref="F149:V149"/>
    <mergeCell ref="G99:J99"/>
    <mergeCell ref="X115:AA115"/>
    <mergeCell ref="I112:L112"/>
    <mergeCell ref="I113:L113"/>
    <mergeCell ref="K99:L99"/>
    <mergeCell ref="Q99:R99"/>
    <mergeCell ref="S117:V117"/>
    <mergeCell ref="B106:H106"/>
    <mergeCell ref="AC120:AF120"/>
    <mergeCell ref="AC121:AF121"/>
    <mergeCell ref="S112:V112"/>
    <mergeCell ref="AH125:AK125"/>
    <mergeCell ref="AA99:AD99"/>
    <mergeCell ref="N125:Q125"/>
    <mergeCell ref="S121:V121"/>
    <mergeCell ref="C125:D125"/>
    <mergeCell ref="N122:Q122"/>
    <mergeCell ref="N123:Q123"/>
    <mergeCell ref="AK99:AL99"/>
    <mergeCell ref="K89:L89"/>
    <mergeCell ref="K90:L90"/>
    <mergeCell ref="K91:L91"/>
    <mergeCell ref="K92:L92"/>
    <mergeCell ref="K93:L93"/>
    <mergeCell ref="K94:L94"/>
    <mergeCell ref="K95:L95"/>
    <mergeCell ref="AE148:AK148"/>
    <mergeCell ref="I123:L123"/>
    <mergeCell ref="X120:AA120"/>
    <mergeCell ref="AA93:AD93"/>
    <mergeCell ref="S119:V119"/>
    <mergeCell ref="AC113:AF113"/>
    <mergeCell ref="AC115:AF115"/>
    <mergeCell ref="AC114:AF114"/>
    <mergeCell ref="AA91:AD91"/>
    <mergeCell ref="V98:X98"/>
    <mergeCell ref="AA92:AD92"/>
    <mergeCell ref="G97:J97"/>
    <mergeCell ref="V96:X96"/>
    <mergeCell ref="V97:X97"/>
    <mergeCell ref="M98:P98"/>
    <mergeCell ref="S116:V116"/>
    <mergeCell ref="B151:H151"/>
    <mergeCell ref="R151:U151"/>
    <mergeCell ref="F142:V142"/>
    <mergeCell ref="Q94:R94"/>
    <mergeCell ref="Q95:R95"/>
    <mergeCell ref="Q96:R96"/>
    <mergeCell ref="Q97:R97"/>
    <mergeCell ref="Q98:R98"/>
    <mergeCell ref="AK92:AL92"/>
    <mergeCell ref="AK93:AL93"/>
    <mergeCell ref="AK94:AL94"/>
    <mergeCell ref="AK95:AL95"/>
    <mergeCell ref="AK96:AL96"/>
    <mergeCell ref="AK97:AL97"/>
    <mergeCell ref="AK98:AL98"/>
    <mergeCell ref="AE94:AF94"/>
    <mergeCell ref="X124:AA124"/>
    <mergeCell ref="C116:D116"/>
    <mergeCell ref="X122:AA122"/>
    <mergeCell ref="C117:D117"/>
    <mergeCell ref="C124:D124"/>
    <mergeCell ref="S115:V115"/>
    <mergeCell ref="S123:V123"/>
    <mergeCell ref="S124:V124"/>
    <mergeCell ref="I51:K51"/>
    <mergeCell ref="C122:D122"/>
    <mergeCell ref="D107:Z107"/>
    <mergeCell ref="X117:AA117"/>
    <mergeCell ref="I117:L117"/>
    <mergeCell ref="C115:D115"/>
    <mergeCell ref="S113:V113"/>
    <mergeCell ref="X123:AA123"/>
    <mergeCell ref="M92:P92"/>
    <mergeCell ref="B90:D90"/>
    <mergeCell ref="B94:D94"/>
    <mergeCell ref="G83:J83"/>
    <mergeCell ref="G84:J84"/>
    <mergeCell ref="G85:J85"/>
    <mergeCell ref="B95:D95"/>
    <mergeCell ref="M94:P94"/>
    <mergeCell ref="M93:P93"/>
    <mergeCell ref="K84:L84"/>
    <mergeCell ref="K85:L85"/>
    <mergeCell ref="K86:L86"/>
    <mergeCell ref="K87:L87"/>
    <mergeCell ref="K88:L88"/>
    <mergeCell ref="B91:D91"/>
    <mergeCell ref="B81:D81"/>
    <mergeCell ref="B80:D80"/>
    <mergeCell ref="G81:J81"/>
    <mergeCell ref="G82:J82"/>
    <mergeCell ref="M83:P83"/>
    <mergeCell ref="G86:J86"/>
    <mergeCell ref="G87:J87"/>
    <mergeCell ref="G88:J88"/>
    <mergeCell ref="V82:X82"/>
    <mergeCell ref="V83:X83"/>
    <mergeCell ref="M85:P85"/>
    <mergeCell ref="M86:P86"/>
    <mergeCell ref="M87:P87"/>
    <mergeCell ref="M88:P88"/>
    <mergeCell ref="V80:X80"/>
    <mergeCell ref="E54:G54"/>
    <mergeCell ref="AI46:AK46"/>
    <mergeCell ref="I50:K50"/>
    <mergeCell ref="AI53:AK53"/>
    <mergeCell ref="AI54:AK54"/>
    <mergeCell ref="K26:L26"/>
    <mergeCell ref="K27:L27"/>
    <mergeCell ref="AE26:AF26"/>
    <mergeCell ref="AE27:AF27"/>
    <mergeCell ref="M52:O52"/>
    <mergeCell ref="W51:Y51"/>
    <mergeCell ref="W52:Y52"/>
    <mergeCell ref="W53:Y53"/>
    <mergeCell ref="M51:O51"/>
    <mergeCell ref="I52:K52"/>
    <mergeCell ref="I53:K53"/>
    <mergeCell ref="AH40:AJ40"/>
    <mergeCell ref="M54:O54"/>
    <mergeCell ref="AI51:AK51"/>
    <mergeCell ref="AI52:AK52"/>
    <mergeCell ref="AA54:AC54"/>
    <mergeCell ref="AA45:AC45"/>
    <mergeCell ref="AA46:AC46"/>
    <mergeCell ref="AA50:AC50"/>
    <mergeCell ref="AE53:AG53"/>
    <mergeCell ref="AA26:AD26"/>
    <mergeCell ref="AA27:AD27"/>
    <mergeCell ref="A35:AL35"/>
    <mergeCell ref="E37:H37"/>
    <mergeCell ref="N37:Q37"/>
    <mergeCell ref="AE45:AG45"/>
    <mergeCell ref="E53:G53"/>
    <mergeCell ref="AI50:AK50"/>
    <mergeCell ref="M50:O50"/>
    <mergeCell ref="Q50:S50"/>
    <mergeCell ref="W50:Y50"/>
    <mergeCell ref="AE50:AG50"/>
    <mergeCell ref="AE51:AG51"/>
    <mergeCell ref="W46:Y46"/>
    <mergeCell ref="W45:Y45"/>
    <mergeCell ref="AA51:AC51"/>
    <mergeCell ref="AA52:AC52"/>
    <mergeCell ref="AA53:AC53"/>
    <mergeCell ref="Q51:S51"/>
    <mergeCell ref="Q52:S52"/>
    <mergeCell ref="M53:O53"/>
    <mergeCell ref="Q53:S53"/>
    <mergeCell ref="E51:G51"/>
    <mergeCell ref="AA95:AD95"/>
    <mergeCell ref="H7:W7"/>
    <mergeCell ref="H11:AI11"/>
    <mergeCell ref="U1:AL4"/>
    <mergeCell ref="W54:Y54"/>
    <mergeCell ref="K31:L31"/>
    <mergeCell ref="AE31:AF31"/>
    <mergeCell ref="A20:AL20"/>
    <mergeCell ref="Y37:AB37"/>
    <mergeCell ref="AH37:AK37"/>
    <mergeCell ref="Y39:AA39"/>
    <mergeCell ref="Y38:AA38"/>
    <mergeCell ref="AH39:AJ39"/>
    <mergeCell ref="AE46:AG46"/>
    <mergeCell ref="Y40:AA40"/>
    <mergeCell ref="AI45:AK45"/>
    <mergeCell ref="E45:G45"/>
    <mergeCell ref="I45:K45"/>
    <mergeCell ref="M45:O45"/>
    <mergeCell ref="Q45:S45"/>
    <mergeCell ref="E15:Z15"/>
    <mergeCell ref="E16:Z16"/>
    <mergeCell ref="Q54:S54"/>
    <mergeCell ref="AE52:AG52"/>
    <mergeCell ref="V95:X95"/>
    <mergeCell ref="V90:X90"/>
    <mergeCell ref="B82:D82"/>
    <mergeCell ref="B83:D83"/>
    <mergeCell ref="B84:D84"/>
    <mergeCell ref="B85:D85"/>
    <mergeCell ref="B86:D86"/>
    <mergeCell ref="B87:D87"/>
    <mergeCell ref="B93:D93"/>
    <mergeCell ref="B88:D88"/>
    <mergeCell ref="M95:P95"/>
    <mergeCell ref="M89:P89"/>
    <mergeCell ref="V91:X91"/>
    <mergeCell ref="G89:J89"/>
    <mergeCell ref="G90:J90"/>
    <mergeCell ref="G91:J91"/>
    <mergeCell ref="M90:P90"/>
    <mergeCell ref="M91:P91"/>
    <mergeCell ref="V89:X89"/>
    <mergeCell ref="B89:D89"/>
    <mergeCell ref="G96:J96"/>
    <mergeCell ref="G98:J98"/>
    <mergeCell ref="G95:J95"/>
    <mergeCell ref="G93:J93"/>
    <mergeCell ref="B98:D98"/>
    <mergeCell ref="B99:D99"/>
    <mergeCell ref="B96:D96"/>
    <mergeCell ref="B97:D97"/>
    <mergeCell ref="G92:J92"/>
    <mergeCell ref="G94:J94"/>
    <mergeCell ref="B92:D92"/>
    <mergeCell ref="N124:Q124"/>
    <mergeCell ref="I121:L121"/>
    <mergeCell ref="I119:L119"/>
    <mergeCell ref="S125:V125"/>
    <mergeCell ref="I116:L116"/>
    <mergeCell ref="I120:L120"/>
    <mergeCell ref="I122:L122"/>
    <mergeCell ref="C120:D120"/>
    <mergeCell ref="C121:D121"/>
    <mergeCell ref="I124:L124"/>
    <mergeCell ref="C114:D114"/>
    <mergeCell ref="I125:L125"/>
    <mergeCell ref="C123:D123"/>
    <mergeCell ref="X111:AA111"/>
    <mergeCell ref="X125:AA125"/>
    <mergeCell ref="M99:P99"/>
    <mergeCell ref="N112:Q112"/>
    <mergeCell ref="N113:Q113"/>
    <mergeCell ref="N114:Q114"/>
    <mergeCell ref="N115:Q115"/>
    <mergeCell ref="R106:U106"/>
    <mergeCell ref="X119:AA119"/>
    <mergeCell ref="X116:AA116"/>
    <mergeCell ref="A110:AL110"/>
    <mergeCell ref="AH111:AK111"/>
    <mergeCell ref="AH115:AK115"/>
    <mergeCell ref="N117:Q117"/>
    <mergeCell ref="N116:Q116"/>
    <mergeCell ref="N119:Q119"/>
    <mergeCell ref="C112:D112"/>
    <mergeCell ref="C113:D113"/>
    <mergeCell ref="AH124:AK124"/>
    <mergeCell ref="AG107:AK107"/>
    <mergeCell ref="AC117:AF117"/>
    <mergeCell ref="AH112:AK112"/>
    <mergeCell ref="AH113:AK113"/>
    <mergeCell ref="AH123:AK123"/>
    <mergeCell ref="AH119:AK119"/>
    <mergeCell ref="AC116:AF116"/>
    <mergeCell ref="O65:R65"/>
    <mergeCell ref="E65:H65"/>
    <mergeCell ref="AA31:AD31"/>
    <mergeCell ref="G31:J31"/>
    <mergeCell ref="Y65:AB65"/>
    <mergeCell ref="B59:H59"/>
    <mergeCell ref="AH67:AJ67"/>
    <mergeCell ref="AE81:AF81"/>
    <mergeCell ref="AE82:AF82"/>
    <mergeCell ref="AE83:AF83"/>
    <mergeCell ref="AE84:AF84"/>
    <mergeCell ref="AG80:AJ80"/>
    <mergeCell ref="Y67:AA67"/>
    <mergeCell ref="AA80:AD80"/>
    <mergeCell ref="Q80:R80"/>
    <mergeCell ref="Q81:R81"/>
    <mergeCell ref="Q82:R82"/>
    <mergeCell ref="Q83:R83"/>
    <mergeCell ref="Q84:R84"/>
    <mergeCell ref="D152:Z152"/>
    <mergeCell ref="AG152:AK152"/>
    <mergeCell ref="I70:L70"/>
    <mergeCell ref="I71:L71"/>
    <mergeCell ref="AD70:AG70"/>
    <mergeCell ref="AD71:AG71"/>
    <mergeCell ref="AC123:AF123"/>
    <mergeCell ref="AC124:AF124"/>
    <mergeCell ref="AC125:AF125"/>
    <mergeCell ref="AH120:AK120"/>
    <mergeCell ref="AH121:AK121"/>
    <mergeCell ref="AH122:AK122"/>
    <mergeCell ref="AC122:AF122"/>
    <mergeCell ref="AD74:AF74"/>
    <mergeCell ref="V99:X99"/>
    <mergeCell ref="A73:AL73"/>
    <mergeCell ref="AG85:AJ85"/>
    <mergeCell ref="AG96:AJ96"/>
    <mergeCell ref="AG87:AJ87"/>
    <mergeCell ref="AG82:AJ82"/>
    <mergeCell ref="M81:P81"/>
    <mergeCell ref="M82:P82"/>
    <mergeCell ref="V81:X81"/>
    <mergeCell ref="AE80:AF80"/>
    <mergeCell ref="BN1:CB4"/>
    <mergeCell ref="AA79:AD79"/>
    <mergeCell ref="S114:V114"/>
    <mergeCell ref="X121:AA121"/>
    <mergeCell ref="AA98:AD98"/>
    <mergeCell ref="AA97:AD97"/>
    <mergeCell ref="AA96:AD96"/>
    <mergeCell ref="S111:V111"/>
    <mergeCell ref="V84:X84"/>
    <mergeCell ref="V85:X85"/>
    <mergeCell ref="V86:X86"/>
    <mergeCell ref="V87:X87"/>
    <mergeCell ref="AC111:AF111"/>
    <mergeCell ref="AG83:AJ83"/>
    <mergeCell ref="AG88:AJ88"/>
    <mergeCell ref="AG95:AJ95"/>
    <mergeCell ref="AA85:AD85"/>
    <mergeCell ref="AH116:AK116"/>
    <mergeCell ref="AH117:AK117"/>
    <mergeCell ref="AA84:AD84"/>
    <mergeCell ref="AG81:AJ81"/>
    <mergeCell ref="AG84:AJ84"/>
    <mergeCell ref="AA83:AD83"/>
    <mergeCell ref="AA82:AD82"/>
    <mergeCell ref="AA55:AC55"/>
    <mergeCell ref="AA81:AD81"/>
    <mergeCell ref="AD75:AF75"/>
    <mergeCell ref="E67:G67"/>
    <mergeCell ref="O67:Q67"/>
    <mergeCell ref="G80:J80"/>
    <mergeCell ref="Y66:AA66"/>
    <mergeCell ref="G79:J79"/>
    <mergeCell ref="AE55:AG55"/>
    <mergeCell ref="J74:L74"/>
    <mergeCell ref="D60:Z60"/>
    <mergeCell ref="E66:G66"/>
    <mergeCell ref="M56:O56"/>
    <mergeCell ref="W56:Y56"/>
    <mergeCell ref="R59:U59"/>
    <mergeCell ref="A77:AL77"/>
    <mergeCell ref="AH66:AJ66"/>
    <mergeCell ref="AE56:AG56"/>
    <mergeCell ref="E56:G56"/>
    <mergeCell ref="I56:K56"/>
    <mergeCell ref="O66:Q66"/>
    <mergeCell ref="J75:L75"/>
    <mergeCell ref="AI55:AK55"/>
    <mergeCell ref="W55:Y55"/>
    <mergeCell ref="AF14:AK14"/>
    <mergeCell ref="AF15:AK15"/>
    <mergeCell ref="AF16:AK16"/>
    <mergeCell ref="A63:AL63"/>
    <mergeCell ref="A69:AL69"/>
    <mergeCell ref="AI56:AK56"/>
    <mergeCell ref="AG60:AK60"/>
    <mergeCell ref="AG61:AK61"/>
    <mergeCell ref="AH65:AK65"/>
    <mergeCell ref="Q56:S56"/>
    <mergeCell ref="AA56:AC56"/>
    <mergeCell ref="E46:G46"/>
    <mergeCell ref="I46:K46"/>
    <mergeCell ref="M46:O46"/>
    <mergeCell ref="Q46:S46"/>
    <mergeCell ref="E50:G50"/>
    <mergeCell ref="I54:K54"/>
    <mergeCell ref="M55:O55"/>
    <mergeCell ref="AE54:AG54"/>
    <mergeCell ref="E52:G52"/>
    <mergeCell ref="Q55:S55"/>
    <mergeCell ref="E55:G55"/>
    <mergeCell ref="G26:J26"/>
    <mergeCell ref="I55:K55"/>
    <mergeCell ref="G27:J27"/>
    <mergeCell ref="AG99:AJ99"/>
    <mergeCell ref="X112:AA112"/>
    <mergeCell ref="X113:AA113"/>
    <mergeCell ref="X114:AA114"/>
    <mergeCell ref="V94:X94"/>
    <mergeCell ref="AG97:AJ97"/>
    <mergeCell ref="AG98:AJ98"/>
    <mergeCell ref="AA86:AD86"/>
    <mergeCell ref="AG94:AJ94"/>
    <mergeCell ref="V88:X88"/>
    <mergeCell ref="AA88:AD88"/>
    <mergeCell ref="AA87:AD87"/>
    <mergeCell ref="AG90:AJ90"/>
    <mergeCell ref="AG91:AJ91"/>
    <mergeCell ref="AG92:AJ92"/>
    <mergeCell ref="AG93:AJ93"/>
    <mergeCell ref="AG89:AJ89"/>
    <mergeCell ref="AG86:AJ86"/>
    <mergeCell ref="AH114:AK114"/>
    <mergeCell ref="AC112:AF112"/>
    <mergeCell ref="AA90:AD90"/>
    <mergeCell ref="AA89:AD89"/>
    <mergeCell ref="AA94:AD94"/>
  </mergeCells>
  <conditionalFormatting sqref="B128:AK135">
    <cfRule type="expression" dxfId="106" priority="60">
      <formula>$AM$185&gt;0</formula>
    </cfRule>
    <cfRule type="cellIs" priority="59" stopIfTrue="1" operator="greaterThan">
      <formula>0</formula>
    </cfRule>
  </conditionalFormatting>
  <conditionalFormatting sqref="D170 F170">
    <cfRule type="expression" dxfId="105" priority="23">
      <formula>ISBLANK(D170)</formula>
    </cfRule>
  </conditionalFormatting>
  <conditionalFormatting sqref="D172 F172">
    <cfRule type="expression" dxfId="104" priority="54">
      <formula>ISBLANK(D172)</formula>
    </cfRule>
  </conditionalFormatting>
  <conditionalFormatting sqref="D174 F174">
    <cfRule type="expression" dxfId="103" priority="49">
      <formula>ISBLANK(D174)</formula>
    </cfRule>
  </conditionalFormatting>
  <conditionalFormatting sqref="D176 F176">
    <cfRule type="expression" dxfId="102" priority="46">
      <formula>ISBLANK(D176)</formula>
    </cfRule>
  </conditionalFormatting>
  <conditionalFormatting sqref="D178 F178">
    <cfRule type="expression" dxfId="101" priority="43">
      <formula>ISBLANK(D178)</formula>
    </cfRule>
  </conditionalFormatting>
  <conditionalFormatting sqref="D180 F180">
    <cfRule type="expression" dxfId="100" priority="40">
      <formula>ISBLANK(D180)</formula>
    </cfRule>
  </conditionalFormatting>
  <conditionalFormatting sqref="D182 F182">
    <cfRule type="expression" dxfId="99" priority="20">
      <formula>ISBLANK(D182)</formula>
    </cfRule>
  </conditionalFormatting>
  <conditionalFormatting sqref="D60:Z60">
    <cfRule type="cellIs" dxfId="98" priority="90" operator="equal">
      <formula>0</formula>
    </cfRule>
  </conditionalFormatting>
  <conditionalFormatting sqref="D107:Z107">
    <cfRule type="cellIs" dxfId="97" priority="88" operator="equal">
      <formula>0</formula>
    </cfRule>
  </conditionalFormatting>
  <conditionalFormatting sqref="D152:Z152">
    <cfRule type="cellIs" dxfId="96" priority="83" operator="equal">
      <formula>0</formula>
    </cfRule>
  </conditionalFormatting>
  <conditionalFormatting sqref="E159:E160">
    <cfRule type="expression" dxfId="95" priority="27">
      <formula>ISBLANK(E159)</formula>
    </cfRule>
  </conditionalFormatting>
  <conditionalFormatting sqref="E161:Y161 E162:E164">
    <cfRule type="expression" dxfId="94" priority="25">
      <formula>ISBLANK(E161)</formula>
    </cfRule>
  </conditionalFormatting>
  <conditionalFormatting sqref="E15:Z16 AF16">
    <cfRule type="cellIs" dxfId="93" priority="77" operator="equal">
      <formula>0</formula>
    </cfRule>
  </conditionalFormatting>
  <conditionalFormatting sqref="F138:F142 Z140 AH140">
    <cfRule type="expression" dxfId="92" priority="100">
      <formula>ISBLANK(F138)</formula>
    </cfRule>
  </conditionalFormatting>
  <conditionalFormatting sqref="F145:F149 Z147 AH147 AE148:AE149">
    <cfRule type="expression" priority="98" stopIfTrue="1">
      <formula>$AN$144=2</formula>
    </cfRule>
    <cfRule type="expression" dxfId="91" priority="186">
      <formula>ISBLANK(F145)</formula>
    </cfRule>
  </conditionalFormatting>
  <conditionalFormatting sqref="F170 D170">
    <cfRule type="expression" priority="22" stopIfTrue="1">
      <formula>$AM$170=2</formula>
    </cfRule>
  </conditionalFormatting>
  <conditionalFormatting sqref="F170">
    <cfRule type="expression" dxfId="90" priority="21">
      <formula>$AN$170=2</formula>
    </cfRule>
  </conditionalFormatting>
  <conditionalFormatting sqref="F172 D172">
    <cfRule type="expression" priority="53" stopIfTrue="1">
      <formula>$AM$172=2</formula>
    </cfRule>
  </conditionalFormatting>
  <conditionalFormatting sqref="F172">
    <cfRule type="expression" dxfId="89" priority="52">
      <formula>$AN$172=2</formula>
    </cfRule>
  </conditionalFormatting>
  <conditionalFormatting sqref="F174 D174">
    <cfRule type="expression" priority="48" stopIfTrue="1">
      <formula>$AM$174=2</formula>
    </cfRule>
  </conditionalFormatting>
  <conditionalFormatting sqref="F174">
    <cfRule type="expression" dxfId="88" priority="47">
      <formula>$AN$174=2</formula>
    </cfRule>
  </conditionalFormatting>
  <conditionalFormatting sqref="F176 D176">
    <cfRule type="expression" priority="45" stopIfTrue="1">
      <formula>$AM$176=2</formula>
    </cfRule>
  </conditionalFormatting>
  <conditionalFormatting sqref="F176">
    <cfRule type="expression" dxfId="87" priority="44">
      <formula>$AN$176=2</formula>
    </cfRule>
  </conditionalFormatting>
  <conditionalFormatting sqref="F178 D178">
    <cfRule type="expression" priority="42" stopIfTrue="1">
      <formula>$AM$178=2</formula>
    </cfRule>
  </conditionalFormatting>
  <conditionalFormatting sqref="F178">
    <cfRule type="expression" dxfId="86" priority="41">
      <formula>$AN$178=2</formula>
    </cfRule>
  </conditionalFormatting>
  <conditionalFormatting sqref="F180 D180">
    <cfRule type="expression" priority="39" stopIfTrue="1">
      <formula>$AM$180=2</formula>
    </cfRule>
  </conditionalFormatting>
  <conditionalFormatting sqref="F180">
    <cfRule type="expression" dxfId="85" priority="38">
      <formula>$AN$180=2</formula>
    </cfRule>
  </conditionalFormatting>
  <conditionalFormatting sqref="F182 D182">
    <cfRule type="expression" priority="19" stopIfTrue="1">
      <formula>$AM$182=2</formula>
    </cfRule>
  </conditionalFormatting>
  <conditionalFormatting sqref="F182">
    <cfRule type="expression" dxfId="84" priority="18">
      <formula>$AN$182=2</formula>
    </cfRule>
  </conditionalFormatting>
  <conditionalFormatting sqref="G18 N18 Z18 AH18">
    <cfRule type="expression" dxfId="83" priority="96">
      <formula>ISBLANK(G18)</formula>
    </cfRule>
  </conditionalFormatting>
  <conditionalFormatting sqref="G80:J99 M80:P99 AA80:AD99 AG80:AJ99">
    <cfRule type="expression" dxfId="82" priority="14">
      <formula>$AN$22=2</formula>
    </cfRule>
    <cfRule type="expression" dxfId="81" priority="13">
      <formula>$AN$22=1</formula>
    </cfRule>
  </conditionalFormatting>
  <conditionalFormatting sqref="I120:I125">
    <cfRule type="expression" dxfId="80" priority="250" stopIfTrue="1">
      <formula>ISBLANK(I120)</formula>
    </cfRule>
    <cfRule type="cellIs" dxfId="79" priority="251" operator="notEqual">
      <formula>$I112</formula>
    </cfRule>
  </conditionalFormatting>
  <conditionalFormatting sqref="K80:L99 Q80:R99 AE80:AF99 AK80:AL99">
    <cfRule type="expression" dxfId="77" priority="15">
      <formula>$AM$79=2</formula>
    </cfRule>
  </conditionalFormatting>
  <conditionalFormatting sqref="N120:N125">
    <cfRule type="expression" dxfId="76" priority="244" stopIfTrue="1">
      <formula>ISBLANK(N120)</formula>
    </cfRule>
    <cfRule type="cellIs" dxfId="75" priority="245" operator="notEqual">
      <formula>$N112</formula>
    </cfRule>
  </conditionalFormatting>
  <conditionalFormatting sqref="O162 W162">
    <cfRule type="expression" dxfId="74" priority="24">
      <formula>ISBLANK(O162)</formula>
    </cfRule>
  </conditionalFormatting>
  <conditionalFormatting sqref="S112:S117 X112:X117 AC112:AC117">
    <cfRule type="expression" dxfId="73" priority="185">
      <formula>ISBLANK(S112)</formula>
    </cfRule>
  </conditionalFormatting>
  <conditionalFormatting sqref="S120:S125 X120:X125 AC120:AC125">
    <cfRule type="expression" dxfId="72" priority="8" stopIfTrue="1">
      <formula>ISBLANK(S120)</formula>
    </cfRule>
  </conditionalFormatting>
  <conditionalFormatting sqref="V80:X80">
    <cfRule type="cellIs" priority="62" operator="greaterThan">
      <formula>0</formula>
    </cfRule>
    <cfRule type="expression" dxfId="71" priority="63">
      <formula>ISBLANK($V$80)</formula>
    </cfRule>
  </conditionalFormatting>
  <conditionalFormatting sqref="X120:X123">
    <cfRule type="cellIs" dxfId="70" priority="243" operator="greaterThan">
      <formula>$Y$67</formula>
    </cfRule>
  </conditionalFormatting>
  <conditionalFormatting sqref="X124:AA124">
    <cfRule type="expression" dxfId="69" priority="95">
      <formula>$AO$124&lt;1</formula>
    </cfRule>
  </conditionalFormatting>
  <conditionalFormatting sqref="X125:AA125">
    <cfRule type="expression" dxfId="68" priority="9">
      <formula>$AO$125&lt;1</formula>
    </cfRule>
  </conditionalFormatting>
  <conditionalFormatting sqref="Y33 AB33">
    <cfRule type="expression" dxfId="67" priority="923">
      <formula>$AM$33=1</formula>
    </cfRule>
  </conditionalFormatting>
  <conditionalFormatting sqref="Y37 AH40 W45:W46 N112:N117">
    <cfRule type="expression" dxfId="66" priority="960">
      <formula>ISBLANK(N37)</formula>
    </cfRule>
  </conditionalFormatting>
  <conditionalFormatting sqref="Y40">
    <cfRule type="expression" dxfId="65" priority="162">
      <formula>ISBLANK(Y40)</formula>
    </cfRule>
  </conditionalFormatting>
  <conditionalFormatting sqref="Y42 AC42">
    <cfRule type="expression" dxfId="64" priority="924">
      <formula>$AM$42=1</formula>
    </cfRule>
  </conditionalFormatting>
  <conditionalFormatting sqref="Y65:Y67 AH65:AH67">
    <cfRule type="expression" dxfId="63" priority="141">
      <formula>ISBLANK(Y65)</formula>
    </cfRule>
  </conditionalFormatting>
  <conditionalFormatting sqref="Y144">
    <cfRule type="expression" priority="67" stopIfTrue="1">
      <formula>$AM$144=2</formula>
    </cfRule>
    <cfRule type="expression" dxfId="62" priority="101">
      <formula>ISBLANK(Y144)</formula>
    </cfRule>
  </conditionalFormatting>
  <conditionalFormatting sqref="Y172 AC172">
    <cfRule type="cellIs" priority="50" stopIfTrue="1" operator="greaterThan">
      <formula>0</formula>
    </cfRule>
    <cfRule type="expression" dxfId="61" priority="51">
      <formula>$AO$172=2</formula>
    </cfRule>
  </conditionalFormatting>
  <conditionalFormatting sqref="Y174 AC174">
    <cfRule type="cellIs" priority="36" stopIfTrue="1" operator="greaterThan">
      <formula>0</formula>
    </cfRule>
    <cfRule type="expression" dxfId="60" priority="37">
      <formula>$AO$174=2</formula>
    </cfRule>
  </conditionalFormatting>
  <conditionalFormatting sqref="Y176 AC176">
    <cfRule type="cellIs" priority="34" stopIfTrue="1" operator="greaterThan">
      <formula>0</formula>
    </cfRule>
    <cfRule type="expression" dxfId="59" priority="35">
      <formula>$AO$176=2</formula>
    </cfRule>
  </conditionalFormatting>
  <conditionalFormatting sqref="Y178 AC178">
    <cfRule type="expression" dxfId="58" priority="33">
      <formula>$AO$178=2</formula>
    </cfRule>
    <cfRule type="cellIs" priority="32" stopIfTrue="1" operator="greaterThan">
      <formula>0</formula>
    </cfRule>
  </conditionalFormatting>
  <conditionalFormatting sqref="Y180 AC180">
    <cfRule type="cellIs" priority="30" stopIfTrue="1" operator="greaterThan">
      <formula>0</formula>
    </cfRule>
    <cfRule type="expression" dxfId="57" priority="31">
      <formula>$AO$180=2</formula>
    </cfRule>
  </conditionalFormatting>
  <conditionalFormatting sqref="Y182 AC182">
    <cfRule type="cellIs" priority="16" stopIfTrue="1" operator="greaterThan">
      <formula>0</formula>
    </cfRule>
    <cfRule type="expression" dxfId="56" priority="17">
      <formula>$AO$182=2</formula>
    </cfRule>
  </conditionalFormatting>
  <conditionalFormatting sqref="Y38:AA38">
    <cfRule type="cellIs" priority="73" stopIfTrue="1" operator="greaterThan">
      <formula>0</formula>
    </cfRule>
    <cfRule type="expression" dxfId="55" priority="74">
      <formula>ISBLANK(Y38)</formula>
    </cfRule>
    <cfRule type="expression" priority="72" stopIfTrue="1">
      <formula>$AM$39=2</formula>
    </cfRule>
  </conditionalFormatting>
  <conditionalFormatting sqref="Y39:AA39 AH39:AJ39">
    <cfRule type="expression" priority="69" stopIfTrue="1">
      <formula>$AM$38=2</formula>
    </cfRule>
    <cfRule type="expression" dxfId="54" priority="71">
      <formula>ISBLANK(Y39)</formula>
    </cfRule>
    <cfRule type="cellIs" priority="70" stopIfTrue="1" operator="greaterThan">
      <formula>0</formula>
    </cfRule>
  </conditionalFormatting>
  <conditionalFormatting sqref="AA22:AA27">
    <cfRule type="expression" dxfId="53" priority="87">
      <formula>ISBLANK(AA22)</formula>
    </cfRule>
  </conditionalFormatting>
  <conditionalFormatting sqref="AA29 AE29">
    <cfRule type="expression" dxfId="52" priority="919">
      <formula>$AN$29=1</formula>
    </cfRule>
  </conditionalFormatting>
  <conditionalFormatting sqref="AA45 AD45 AI45">
    <cfRule type="expression" dxfId="51" priority="929">
      <formula>$AM$45=2</formula>
    </cfRule>
  </conditionalFormatting>
  <conditionalFormatting sqref="AA46 AI46">
    <cfRule type="expression" dxfId="50" priority="931">
      <formula>$AM$46=2</formula>
    </cfRule>
  </conditionalFormatting>
  <conditionalFormatting sqref="AA50 AI50">
    <cfRule type="expression" dxfId="49" priority="935">
      <formula>$AM$50=2</formula>
    </cfRule>
  </conditionalFormatting>
  <conditionalFormatting sqref="AA50:AA51 AI50:AI51">
    <cfRule type="cellIs" priority="934" stopIfTrue="1" operator="greaterThan">
      <formula>0</formula>
    </cfRule>
  </conditionalFormatting>
  <conditionalFormatting sqref="AA51 AI51">
    <cfRule type="expression" dxfId="48" priority="939">
      <formula>$AM$51=2</formula>
    </cfRule>
  </conditionalFormatting>
  <conditionalFormatting sqref="AA53 AI53">
    <cfRule type="expression" dxfId="47" priority="943">
      <formula>$AM$53=2</formula>
    </cfRule>
  </conditionalFormatting>
  <conditionalFormatting sqref="AA53:AA56 AI53:AI56">
    <cfRule type="cellIs" priority="942" stopIfTrue="1" operator="greaterThan">
      <formula>0</formula>
    </cfRule>
  </conditionalFormatting>
  <conditionalFormatting sqref="AA54 AI54">
    <cfRule type="expression" dxfId="46" priority="947">
      <formula>$AM$54=2</formula>
    </cfRule>
  </conditionalFormatting>
  <conditionalFormatting sqref="AA55 AI55">
    <cfRule type="expression" dxfId="45" priority="951">
      <formula>$AM$55=2</formula>
    </cfRule>
  </conditionalFormatting>
  <conditionalFormatting sqref="AA56 AI56">
    <cfRule type="expression" dxfId="44" priority="955">
      <formula>$AM$56=2</formula>
    </cfRule>
  </conditionalFormatting>
  <conditionalFormatting sqref="AA80 AG80">
    <cfRule type="expression" dxfId="43" priority="1012">
      <formula>$AO$80=2</formula>
    </cfRule>
  </conditionalFormatting>
  <conditionalFormatting sqref="AA80">
    <cfRule type="expression" priority="94" stopIfTrue="1">
      <formula>$AM$80=1</formula>
    </cfRule>
  </conditionalFormatting>
  <conditionalFormatting sqref="AA81 AG81">
    <cfRule type="expression" dxfId="42" priority="1016">
      <formula>$AO$81=2</formula>
    </cfRule>
  </conditionalFormatting>
  <conditionalFormatting sqref="AA82 AG82">
    <cfRule type="expression" dxfId="41" priority="1020">
      <formula>$AO$82=2</formula>
    </cfRule>
  </conditionalFormatting>
  <conditionalFormatting sqref="AA83 AG83">
    <cfRule type="expression" dxfId="40" priority="1024">
      <formula>$AO$83=2</formula>
    </cfRule>
  </conditionalFormatting>
  <conditionalFormatting sqref="AA84 AG84">
    <cfRule type="expression" dxfId="39" priority="1028">
      <formula>$AO$84=2</formula>
    </cfRule>
  </conditionalFormatting>
  <conditionalFormatting sqref="AA85 AG85">
    <cfRule type="expression" dxfId="38" priority="1032">
      <formula>$AO$85=2</formula>
    </cfRule>
  </conditionalFormatting>
  <conditionalFormatting sqref="AA86 AG86">
    <cfRule type="expression" dxfId="37" priority="1036">
      <formula>$AO$86=2</formula>
    </cfRule>
  </conditionalFormatting>
  <conditionalFormatting sqref="AA87 AG87">
    <cfRule type="expression" dxfId="36" priority="1040">
      <formula>$AO$87=2</formula>
    </cfRule>
  </conditionalFormatting>
  <conditionalFormatting sqref="AA88 AG88">
    <cfRule type="expression" dxfId="35" priority="1044">
      <formula>$AO$88=2</formula>
    </cfRule>
  </conditionalFormatting>
  <conditionalFormatting sqref="AA89 AG89">
    <cfRule type="expression" dxfId="34" priority="1048">
      <formula>$AO$89=2</formula>
    </cfRule>
  </conditionalFormatting>
  <conditionalFormatting sqref="AA90 AG90">
    <cfRule type="expression" dxfId="33" priority="1052">
      <formula>$AO$90=2</formula>
    </cfRule>
  </conditionalFormatting>
  <conditionalFormatting sqref="AA91 AG91">
    <cfRule type="expression" dxfId="32" priority="1056">
      <formula>$AO$91=2</formula>
    </cfRule>
  </conditionalFormatting>
  <conditionalFormatting sqref="AA92 AG92">
    <cfRule type="expression" dxfId="31" priority="1060">
      <formula>$AO$92=2</formula>
    </cfRule>
  </conditionalFormatting>
  <conditionalFormatting sqref="AA93 AG93">
    <cfRule type="expression" dxfId="30" priority="1064">
      <formula>$AO$93=2</formula>
    </cfRule>
  </conditionalFormatting>
  <conditionalFormatting sqref="AA94 AG94">
    <cfRule type="expression" dxfId="29" priority="1068">
      <formula>$AO$94=2</formula>
    </cfRule>
  </conditionalFormatting>
  <conditionalFormatting sqref="AA95 AG95">
    <cfRule type="expression" dxfId="28" priority="1072">
      <formula>$AO$95=2</formula>
    </cfRule>
  </conditionalFormatting>
  <conditionalFormatting sqref="AA96 AG96">
    <cfRule type="expression" dxfId="27" priority="1076">
      <formula>$AO$96=2</formula>
    </cfRule>
  </conditionalFormatting>
  <conditionalFormatting sqref="AA97 AG97">
    <cfRule type="expression" dxfId="26" priority="1080">
      <formula>$AO$97=2</formula>
    </cfRule>
  </conditionalFormatting>
  <conditionalFormatting sqref="AA98 AG98">
    <cfRule type="expression" dxfId="25" priority="1084">
      <formula>$AO$98=2</formula>
    </cfRule>
  </conditionalFormatting>
  <conditionalFormatting sqref="AA99 AG99">
    <cfRule type="expression" dxfId="24" priority="1088">
      <formula>$AO$99=2</formula>
    </cfRule>
  </conditionalFormatting>
  <conditionalFormatting sqref="AA52:AC52 AI52:AK52">
    <cfRule type="cellIs" priority="958" stopIfTrue="1" operator="greaterThan">
      <formula>0</formula>
    </cfRule>
    <cfRule type="expression" dxfId="23" priority="959">
      <formula>$AM$52=2</formula>
    </cfRule>
  </conditionalFormatting>
  <conditionalFormatting sqref="AA31:AD31">
    <cfRule type="cellIs" priority="921" stopIfTrue="1" operator="greaterThan">
      <formula>0</formula>
    </cfRule>
    <cfRule type="expression" dxfId="22" priority="922">
      <formula>$AM$29=1</formula>
    </cfRule>
  </conditionalFormatting>
  <conditionalFormatting sqref="AC48 Y48">
    <cfRule type="expression" dxfId="21" priority="926">
      <formula>$AM$48=1</formula>
    </cfRule>
  </conditionalFormatting>
  <conditionalFormatting sqref="AC48">
    <cfRule type="expression" dxfId="20" priority="68">
      <formula>$AN$48=2</formula>
    </cfRule>
  </conditionalFormatting>
  <conditionalFormatting sqref="AC112:AC117 AC120:AC125">
    <cfRule type="cellIs" dxfId="19" priority="1237" operator="greaterThan">
      <formula>$AP$110</formula>
    </cfRule>
  </conditionalFormatting>
  <conditionalFormatting sqref="AC166">
    <cfRule type="expression" dxfId="18" priority="26">
      <formula>ISBLANK(AC166)</formula>
    </cfRule>
  </conditionalFormatting>
  <conditionalFormatting sqref="AD45 AA45:AA46 AI45:AI46">
    <cfRule type="cellIs" priority="928" stopIfTrue="1" operator="greaterThan">
      <formula>0</formula>
    </cfRule>
  </conditionalFormatting>
  <conditionalFormatting sqref="AD70:AD71">
    <cfRule type="expression" dxfId="17" priority="181">
      <formula>ISBLANK(AD70)</formula>
    </cfRule>
  </conditionalFormatting>
  <conditionalFormatting sqref="AD74">
    <cfRule type="cellIs" dxfId="16" priority="241" operator="lessThan">
      <formula>$J74</formula>
    </cfRule>
    <cfRule type="expression" dxfId="15" priority="240">
      <formula>ISBLANK(AD74)</formula>
    </cfRule>
  </conditionalFormatting>
  <conditionalFormatting sqref="AD75:AF75">
    <cfRule type="expression" dxfId="14" priority="58">
      <formula>ISBLANK(AD75)</formula>
    </cfRule>
  </conditionalFormatting>
  <conditionalFormatting sqref="AE142">
    <cfRule type="expression" dxfId="13" priority="99">
      <formula>ISBLANK(AE142)</formula>
    </cfRule>
  </conditionalFormatting>
  <conditionalFormatting sqref="AF14:AF15">
    <cfRule type="expression" dxfId="12" priority="56">
      <formula>ISBLANK(AF14)</formula>
    </cfRule>
  </conditionalFormatting>
  <conditionalFormatting sqref="AF14:AK14">
    <cfRule type="expression" priority="55" stopIfTrue="1">
      <formula>$AM$14=0</formula>
    </cfRule>
  </conditionalFormatting>
  <conditionalFormatting sqref="AG33 AJ33">
    <cfRule type="expression" dxfId="11" priority="912">
      <formula>$AN$33=1</formula>
    </cfRule>
  </conditionalFormatting>
  <conditionalFormatting sqref="AG80">
    <cfRule type="expression" priority="140" stopIfTrue="1">
      <formula>$AN$80=1</formula>
    </cfRule>
  </conditionalFormatting>
  <conditionalFormatting sqref="AG80:AG99 AA80:AA99">
    <cfRule type="cellIs" priority="1011" stopIfTrue="1" operator="greaterThan">
      <formula>0</formula>
    </cfRule>
  </conditionalFormatting>
  <conditionalFormatting sqref="AG60:AK61">
    <cfRule type="cellIs" dxfId="10" priority="76" operator="equal">
      <formula>0</formula>
    </cfRule>
  </conditionalFormatting>
  <conditionalFormatting sqref="AG107:AK108">
    <cfRule type="cellIs" dxfId="9" priority="75" operator="equal">
      <formula>0</formula>
    </cfRule>
  </conditionalFormatting>
  <conditionalFormatting sqref="AG152:AK153">
    <cfRule type="cellIs" dxfId="8" priority="66" operator="equal">
      <formula>0</formula>
    </cfRule>
  </conditionalFormatting>
  <conditionalFormatting sqref="AH37">
    <cfRule type="expression" dxfId="7" priority="163">
      <formula>ISBLANK(AH37)</formula>
    </cfRule>
  </conditionalFormatting>
  <conditionalFormatting sqref="AH112:AK117">
    <cfRule type="expression" dxfId="6" priority="4">
      <formula>$AO112=1</formula>
    </cfRule>
    <cfRule type="expression" dxfId="5" priority="3">
      <formula>$AN112=1</formula>
    </cfRule>
    <cfRule type="expression" dxfId="4" priority="2">
      <formula>$AM112=1</formula>
    </cfRule>
  </conditionalFormatting>
  <conditionalFormatting sqref="AH120:AK125">
    <cfRule type="expression" dxfId="3" priority="10">
      <formula>$AS120=1</formula>
    </cfRule>
    <cfRule type="expression" dxfId="2" priority="1">
      <formula>ISBLANK(AH120)</formula>
    </cfRule>
    <cfRule type="expression" dxfId="1" priority="12">
      <formula>$AR120=1</formula>
    </cfRule>
    <cfRule type="expression" dxfId="0" priority="11">
      <formula>$AQ120=1</formula>
    </cfRule>
  </conditionalFormatting>
  <dataValidations disablePrompts="1" count="2">
    <dataValidation type="list" allowBlank="1" showInputMessage="1" showErrorMessage="1" sqref="AH65:AK65 AH37:AK37 W45:Y46 W50:Y56" xr:uid="{EFF34BD4-2D63-4A15-A0F4-ED4B04088EBB}">
      <formula1>Shape</formula1>
    </dataValidation>
    <dataValidation type="list" allowBlank="1" showInputMessage="1" showErrorMessage="1" sqref="Y37:AB37 Y65:AB65" xr:uid="{95FCC4B4-56CA-4569-99D6-198A1C4267E8}">
      <formula1>Material</formula1>
    </dataValidation>
  </dataValidations>
  <pageMargins left="0.2" right="0.2" top="0.5" bottom="0.25" header="0.3" footer="0.3"/>
  <pageSetup orientation="portrait" r:id="rId1"/>
  <rowBreaks count="3" manualBreakCount="3">
    <brk id="59" max="16383" man="1"/>
    <brk id="106" max="16383" man="1"/>
    <brk id="151" max="16383" man="1"/>
  </rowBreaks>
  <colBreaks count="1" manualBreakCount="1">
    <brk id="45"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7" id="{0D1D217B-B56F-4F5A-9201-0D9DB09550E1}">
            <xm:f>'Form 2B.1 - Design'!$AL$58=1</xm:f>
            <x14:dxf>
              <fill>
                <patternFill>
                  <bgColor theme="7" tint="0.59996337778862885"/>
                </patternFill>
              </fill>
            </x14:dxf>
          </x14:cfRule>
          <xm:sqref>K26:K27 AE26:AF27 K31:L31 AE31:AF31</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51C0DC14-5C5B-497E-ADE8-E14CEC9C6FC0}">
          <x14:formula1>
            <xm:f>Tables!$A$2:$A$10</xm:f>
          </x14:formula1>
          <xm:sqref>E37</xm:sqref>
        </x14:dataValidation>
        <x14:dataValidation type="list" allowBlank="1" showInputMessage="1" showErrorMessage="1" xr:uid="{15328467-34E1-4429-BBED-E9EF3D4805F6}">
          <x14:formula1>
            <xm:f>Tables!$C$2:$C$7</xm:f>
          </x14:formula1>
          <xm:sqref>W47:Y47 H57:H62 W57:Y62 W150:Y151 H105:H106 W105:Y106 H150:H151 H200 W200:Y200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Form 2B.1 - Design</vt:lpstr>
      <vt:lpstr>Form 2B.2 - Design Attachment</vt:lpstr>
      <vt:lpstr>Form 3B - As-built</vt:lpstr>
      <vt:lpstr>Material</vt:lpstr>
      <vt:lpstr>'Form 2B.1 - Design'!Print_Area</vt:lpstr>
      <vt:lpstr>'Form 2B.2 - Design Attachment'!Print_Area</vt:lpstr>
      <vt:lpstr>'Form 3B - As-built'!Print_Area</vt:lpstr>
      <vt:lpstr>'Form 2B.1 - Design'!Print_Titles</vt:lpstr>
      <vt:lpstr>'Form 2B.2 - Design Attachment'!Print_Titles</vt:lpstr>
      <vt:lpstr>'Form 3B - As-built'!Print_Titles</vt:lpstr>
      <vt:lpstr>Shape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Dewayne Smith</dc:creator>
  <cp:lastModifiedBy>Dewayne Smith</cp:lastModifiedBy>
  <cp:lastPrinted>2024-10-07T01:10:07Z</cp:lastPrinted>
  <dcterms:created xsi:type="dcterms:W3CDTF">2021-11-21T16:55:43Z</dcterms:created>
  <dcterms:modified xsi:type="dcterms:W3CDTF">2024-10-07T15:35:42Z</dcterms:modified>
</cp:coreProperties>
</file>