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HYDRO\PROJECTS\Montgomery\2025\B - Post Const\01 - Forms\2024-10-01 P\"/>
    </mc:Choice>
  </mc:AlternateContent>
  <xr:revisionPtr revIDLastSave="0" documentId="13_ncr:1_{E9CDE190-2A4E-4E96-B287-1FFDC9F3E6C3}" xr6:coauthVersionLast="47" xr6:coauthVersionMax="47" xr10:uidLastSave="{00000000-0000-0000-0000-000000000000}"/>
  <workbookProtection workbookAlgorithmName="SHA-512" workbookHashValue="iGb/7pqQjnd+N4GavrETtTteX2xo+xdfP9gzEyZK8CfiM0BWRwv4CA56bW0YMWrp9K0Ys5GE6RaD9CoHBzUSeA==" workbookSaltValue="Voi3gDYTRcrS+roa8Ew4xw==" workbookSpinCount="100000" lockStructure="1"/>
  <bookViews>
    <workbookView xWindow="13935" yWindow="-16320" windowWidth="29040" windowHeight="15840" tabRatio="703" firstSheet="1" activeTab="1" xr2:uid="{994EC860-6224-46C4-B304-9868EEFCD4CE}"/>
  </bookViews>
  <sheets>
    <sheet name="Tables" sheetId="2" state="veryHidden" r:id="rId1"/>
    <sheet name="Instructions" sheetId="7" r:id="rId2"/>
    <sheet name="From 2A.1 - Design" sheetId="5" r:id="rId3"/>
    <sheet name="Form 2A.2 - Design Attachment" sheetId="8" r:id="rId4"/>
    <sheet name="Form 3A - As-built" sheetId="3" r:id="rId5"/>
  </sheets>
  <definedNames>
    <definedName name="_Hlk68675965" localSheetId="4">'Form 3A - As-built'!#REF!</definedName>
    <definedName name="Logo">INDEX(Tables!$C$36:$C$40,MATCH(Tables!$C$14,Tables!$B$36:$B$40,0))</definedName>
    <definedName name="Material">Tables!$A$2:$A$10</definedName>
    <definedName name="_xlnm.Print_Area" localSheetId="3">'Form 2A.2 - Design Attachment'!$A$1:$AK$114</definedName>
    <definedName name="_xlnm.Print_Area" localSheetId="4">'Form 3A - As-built'!$A$1:$AL$198</definedName>
    <definedName name="_xlnm.Print_Area" localSheetId="2">'From 2A.1 - Design'!$A$1:$AK$200</definedName>
    <definedName name="_xlnm.Print_Titles" localSheetId="3">'Form 2A.2 - Design Attachment'!$1:$4</definedName>
    <definedName name="_xlnm.Print_Titles" localSheetId="4">'Form 3A - As-built'!$1:$4</definedName>
    <definedName name="_xlnm.Print_Titles" localSheetId="2">'From 2A.1 - Design'!$1:$4</definedName>
    <definedName name="Shape">Tables!$C$2:$C$11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80" i="5" l="1"/>
  <c r="AN178" i="5"/>
  <c r="AN176" i="5"/>
  <c r="AN174" i="5"/>
  <c r="AN172" i="5"/>
  <c r="AN170" i="5"/>
  <c r="AN168" i="5"/>
  <c r="AN166" i="5"/>
  <c r="AN164" i="5"/>
  <c r="AN162" i="5"/>
  <c r="H3" i="2" l="1"/>
  <c r="H4" i="2" s="1"/>
  <c r="H5" i="2" s="1"/>
  <c r="H6" i="2" s="1"/>
  <c r="H7" i="2" s="1"/>
  <c r="H8" i="2" s="1"/>
  <c r="H9" i="2" s="1"/>
  <c r="H10" i="2" s="1"/>
  <c r="H11" i="2" s="1"/>
  <c r="H12" i="2" s="1"/>
  <c r="H13" i="2" s="1"/>
  <c r="H14" i="2" s="1"/>
  <c r="H15" i="2" s="1"/>
  <c r="H16" i="2" s="1"/>
  <c r="H17" i="2" s="1"/>
  <c r="H18" i="2" s="1"/>
  <c r="H19" i="2" s="1"/>
  <c r="H20" i="2" s="1"/>
  <c r="H2" i="2"/>
  <c r="C32" i="2" l="1"/>
  <c r="AP152" i="5" s="1"/>
  <c r="AQ152" i="5" s="1"/>
  <c r="C31" i="2"/>
  <c r="AO152" i="5" s="1"/>
  <c r="C30" i="2"/>
  <c r="AQ146" i="5"/>
  <c r="AQ145" i="5"/>
  <c r="AQ144" i="5"/>
  <c r="AQ143" i="5"/>
  <c r="AQ142" i="5"/>
  <c r="AQ141" i="5"/>
  <c r="AP150" i="5" l="1"/>
  <c r="AQ150" i="5" s="1"/>
  <c r="G14" i="2"/>
  <c r="Y152" i="5"/>
  <c r="G16" i="2"/>
  <c r="AQ89" i="3"/>
  <c r="Y65" i="8"/>
  <c r="R65" i="8"/>
  <c r="Y64" i="8" l="1"/>
  <c r="I35" i="3" l="1"/>
  <c r="AP153" i="3"/>
  <c r="AP167" i="3"/>
  <c r="AP165" i="3"/>
  <c r="AP163" i="3"/>
  <c r="AP161" i="3"/>
  <c r="AP159" i="3"/>
  <c r="AP157" i="3"/>
  <c r="AP155" i="3"/>
  <c r="AP151" i="3" s="1"/>
  <c r="AF170" i="3" l="1"/>
  <c r="AM154" i="5" l="1"/>
  <c r="AN108" i="5" l="1"/>
  <c r="AN109" i="5"/>
  <c r="AN110" i="5"/>
  <c r="AN111" i="5"/>
  <c r="AN112" i="5"/>
  <c r="AN107" i="5"/>
  <c r="AH87" i="3"/>
  <c r="AM152" i="5" l="1"/>
  <c r="AL152" i="5"/>
  <c r="AL33" i="5"/>
  <c r="AH90" i="3"/>
  <c r="I89" i="3"/>
  <c r="AN113" i="5"/>
  <c r="C29" i="2"/>
  <c r="AO150" i="5" s="1"/>
  <c r="AQ88" i="3" l="1"/>
  <c r="Y150" i="5"/>
  <c r="AN152" i="5"/>
  <c r="AR89" i="3" s="1"/>
  <c r="AR95" i="3" s="1"/>
  <c r="AP89" i="3"/>
  <c r="AO90" i="3" s="1"/>
  <c r="I88" i="3"/>
  <c r="AR99" i="3" l="1"/>
  <c r="AO87" i="3"/>
  <c r="AR97" i="3"/>
  <c r="AR96" i="3"/>
  <c r="AR100" i="3"/>
  <c r="AR98" i="3"/>
  <c r="AO100" i="3"/>
  <c r="AO99" i="3"/>
  <c r="AR94" i="3" l="1"/>
  <c r="AP107" i="5"/>
  <c r="AP112" i="5"/>
  <c r="AP111" i="5"/>
  <c r="AP108" i="5"/>
  <c r="AP110" i="5"/>
  <c r="AP109" i="5"/>
  <c r="M174" i="3"/>
  <c r="AL111" i="5"/>
  <c r="AL112" i="5"/>
  <c r="AP106" i="5" l="1"/>
  <c r="M197" i="5" s="1"/>
  <c r="M188" i="5"/>
  <c r="AQ112" i="5"/>
  <c r="AQ111" i="5"/>
  <c r="AQ109" i="5"/>
  <c r="AQ108" i="5"/>
  <c r="AQ107" i="5"/>
  <c r="AQ110" i="5"/>
  <c r="AM27" i="5"/>
  <c r="AL154" i="5"/>
  <c r="AP180" i="5"/>
  <c r="AO180" i="5"/>
  <c r="AP178" i="5"/>
  <c r="AO178" i="5"/>
  <c r="AP176" i="5"/>
  <c r="AO176" i="5"/>
  <c r="AP174" i="5"/>
  <c r="AO174" i="5"/>
  <c r="AP172" i="5"/>
  <c r="AO172" i="5"/>
  <c r="AP170" i="5"/>
  <c r="AO170" i="5"/>
  <c r="AP168" i="5"/>
  <c r="AO168" i="5"/>
  <c r="AP166" i="5"/>
  <c r="AO166" i="5"/>
  <c r="AP164" i="5"/>
  <c r="AO164" i="5"/>
  <c r="AM158" i="5"/>
  <c r="AP162" i="5"/>
  <c r="AO162" i="5"/>
  <c r="AM180" i="5"/>
  <c r="AL180" i="5"/>
  <c r="AM178" i="5"/>
  <c r="AL178" i="5"/>
  <c r="AM176" i="5"/>
  <c r="AL176" i="5"/>
  <c r="AM174" i="5"/>
  <c r="AL174" i="5"/>
  <c r="AM172" i="5"/>
  <c r="AL172" i="5"/>
  <c r="AM170" i="5"/>
  <c r="AL170" i="5"/>
  <c r="AM168" i="5"/>
  <c r="AL168" i="5"/>
  <c r="AM166" i="5"/>
  <c r="AL166" i="5"/>
  <c r="AM164" i="5"/>
  <c r="AL164" i="5"/>
  <c r="AM162" i="5"/>
  <c r="AL162" i="5"/>
  <c r="AH91" i="3"/>
  <c r="AO91" i="3" s="1"/>
  <c r="AQ180" i="5" l="1"/>
  <c r="AQ178" i="5"/>
  <c r="AQ176" i="5"/>
  <c r="AQ174" i="5"/>
  <c r="AQ172" i="5"/>
  <c r="AQ170" i="5"/>
  <c r="AQ168" i="5"/>
  <c r="AQ166" i="5"/>
  <c r="AQ164" i="5"/>
  <c r="AQ162" i="5"/>
  <c r="AO53" i="5"/>
  <c r="AN53" i="5"/>
  <c r="AM53" i="5"/>
  <c r="AL53" i="5"/>
  <c r="AL40" i="5"/>
  <c r="AL27" i="5"/>
  <c r="M186" i="5" l="1"/>
  <c r="AL186" i="5" s="1"/>
  <c r="AM34" i="8" l="1"/>
  <c r="R64" i="8"/>
  <c r="AN22" i="8" l="1"/>
  <c r="AM22" i="8"/>
  <c r="AO20" i="8"/>
  <c r="AN20" i="8"/>
  <c r="AP20" i="8"/>
  <c r="AM20" i="8"/>
  <c r="AQ62" i="8"/>
  <c r="AP62" i="8"/>
  <c r="AQ60" i="8"/>
  <c r="AP60" i="8"/>
  <c r="AQ58" i="8"/>
  <c r="AP58" i="8"/>
  <c r="AQ56" i="8"/>
  <c r="AP56" i="8"/>
  <c r="AQ54" i="8"/>
  <c r="AP54" i="8"/>
  <c r="AQ52" i="8"/>
  <c r="AP52" i="8"/>
  <c r="AQ50" i="8"/>
  <c r="AP50" i="8"/>
  <c r="AQ48" i="8"/>
  <c r="AP48" i="8"/>
  <c r="AQ46" i="8"/>
  <c r="AP46" i="8"/>
  <c r="AQ44" i="8"/>
  <c r="AP44" i="8"/>
  <c r="AQ42" i="8"/>
  <c r="AP42" i="8"/>
  <c r="AQ40" i="8"/>
  <c r="AP40" i="8"/>
  <c r="AQ38" i="8"/>
  <c r="AP38" i="8"/>
  <c r="AQ36" i="8"/>
  <c r="AP36" i="8"/>
  <c r="AP34" i="8"/>
  <c r="AO22" i="8" l="1"/>
  <c r="K32" i="8" s="1"/>
  <c r="AQ34" i="8"/>
  <c r="F33" i="8" l="1"/>
  <c r="AN33" i="8" s="1"/>
  <c r="B33" i="8"/>
  <c r="AM33" i="8" s="1"/>
  <c r="AO98" i="5"/>
  <c r="B114" i="8"/>
  <c r="B66" i="8"/>
  <c r="AL158" i="5"/>
  <c r="AM156" i="5"/>
  <c r="AM150" i="5"/>
  <c r="AP88" i="3" s="1"/>
  <c r="AL156" i="5"/>
  <c r="AL150" i="5"/>
  <c r="AN150" i="5" l="1"/>
  <c r="AR88" i="3" s="1"/>
  <c r="AN158" i="5"/>
  <c r="C36" i="8"/>
  <c r="AE68" i="8"/>
  <c r="D68" i="8"/>
  <c r="AN62" i="8"/>
  <c r="AN60" i="8"/>
  <c r="AN58" i="8"/>
  <c r="AN56" i="8"/>
  <c r="AN54" i="8"/>
  <c r="AN52" i="8"/>
  <c r="AN50" i="8"/>
  <c r="AN48" i="8"/>
  <c r="AN46" i="8"/>
  <c r="AN44" i="8"/>
  <c r="AN42" i="8"/>
  <c r="AN40" i="8"/>
  <c r="AN38" i="8"/>
  <c r="AN36" i="8"/>
  <c r="AN34" i="8"/>
  <c r="AP18" i="8"/>
  <c r="AO18" i="8"/>
  <c r="AN18" i="8"/>
  <c r="AM18" i="8"/>
  <c r="K64" i="8"/>
  <c r="AP30" i="8"/>
  <c r="AO30" i="8"/>
  <c r="AN30" i="8"/>
  <c r="AM30" i="8"/>
  <c r="AP28" i="8"/>
  <c r="AO28" i="8"/>
  <c r="AN28" i="8"/>
  <c r="AM28" i="8"/>
  <c r="AP26" i="8"/>
  <c r="AO26" i="8"/>
  <c r="AN26" i="8"/>
  <c r="AM26" i="8"/>
  <c r="BD1" i="8"/>
  <c r="AO112" i="5" l="1"/>
  <c r="AO109" i="5"/>
  <c r="AO107" i="5"/>
  <c r="AO108" i="5"/>
  <c r="AO111" i="5"/>
  <c r="AO110" i="5"/>
  <c r="C38" i="8"/>
  <c r="AM36" i="8"/>
  <c r="AM71" i="8"/>
  <c r="AQ18" i="8"/>
  <c r="AN90" i="3" l="1"/>
  <c r="AQ98" i="3"/>
  <c r="AN91" i="3"/>
  <c r="AQ100" i="3"/>
  <c r="AQ95" i="3"/>
  <c r="AQ96" i="3"/>
  <c r="AN87" i="3"/>
  <c r="AQ97" i="3"/>
  <c r="AQ99" i="3"/>
  <c r="AB64" i="8"/>
  <c r="AB62" i="8"/>
  <c r="AB38" i="8"/>
  <c r="AB60" i="8"/>
  <c r="AB36" i="8"/>
  <c r="AB46" i="8"/>
  <c r="AB58" i="8"/>
  <c r="AB34" i="8"/>
  <c r="AB56" i="8"/>
  <c r="AB50" i="8"/>
  <c r="AB44" i="8"/>
  <c r="AB40" i="8"/>
  <c r="AB54" i="8"/>
  <c r="AB52" i="8"/>
  <c r="AB42" i="8"/>
  <c r="AB48" i="8"/>
  <c r="AO106" i="5"/>
  <c r="M196" i="5" s="1"/>
  <c r="C40" i="8"/>
  <c r="AM38" i="8"/>
  <c r="N56" i="8"/>
  <c r="U64" i="8"/>
  <c r="N44" i="8"/>
  <c r="N48" i="8"/>
  <c r="N40" i="8"/>
  <c r="U50" i="8"/>
  <c r="U38" i="8"/>
  <c r="N50" i="8"/>
  <c r="N46" i="8"/>
  <c r="U42" i="8"/>
  <c r="N54" i="8"/>
  <c r="U48" i="8"/>
  <c r="U52" i="8"/>
  <c r="N58" i="8"/>
  <c r="U40" i="8"/>
  <c r="N60" i="8"/>
  <c r="N62" i="8"/>
  <c r="U46" i="8"/>
  <c r="N38" i="8"/>
  <c r="U60" i="8"/>
  <c r="N64" i="8"/>
  <c r="N36" i="8"/>
  <c r="U36" i="8"/>
  <c r="U34" i="8"/>
  <c r="N42" i="8"/>
  <c r="U56" i="8"/>
  <c r="U44" i="8"/>
  <c r="N34" i="8"/>
  <c r="U62" i="8"/>
  <c r="U54" i="8"/>
  <c r="N52" i="8"/>
  <c r="U58" i="8"/>
  <c r="AL196" i="5" l="1"/>
  <c r="AL197" i="5"/>
  <c r="AQ94" i="3"/>
  <c r="C42" i="8"/>
  <c r="AM40" i="8"/>
  <c r="M183" i="3" l="1"/>
  <c r="AM183" i="3" s="1"/>
  <c r="M184" i="3"/>
  <c r="AM184" i="3" s="1"/>
  <c r="C44" i="8"/>
  <c r="AM42" i="8"/>
  <c r="B28" i="2"/>
  <c r="AN103" i="5" s="1"/>
  <c r="AS95" i="3"/>
  <c r="C46" i="8" l="1"/>
  <c r="AM44" i="8"/>
  <c r="C28" i="2"/>
  <c r="AT21" i="5" s="1"/>
  <c r="C48" i="8" l="1"/>
  <c r="AM46" i="8"/>
  <c r="C27" i="2"/>
  <c r="C25" i="2"/>
  <c r="C24" i="2"/>
  <c r="C23" i="2"/>
  <c r="C22" i="2"/>
  <c r="C21" i="2"/>
  <c r="C50" i="8" l="1"/>
  <c r="AM48" i="8"/>
  <c r="F112" i="5"/>
  <c r="C100" i="3"/>
  <c r="C92" i="3"/>
  <c r="F51" i="5"/>
  <c r="F38" i="5"/>
  <c r="C52" i="8" l="1"/>
  <c r="AM50" i="8"/>
  <c r="G100" i="3"/>
  <c r="G99" i="3"/>
  <c r="G98" i="3"/>
  <c r="G97" i="3"/>
  <c r="G96" i="3"/>
  <c r="G95" i="3"/>
  <c r="G92" i="3"/>
  <c r="G91" i="3"/>
  <c r="G90" i="3"/>
  <c r="G89" i="3"/>
  <c r="G88" i="3"/>
  <c r="G87" i="3"/>
  <c r="K112" i="5"/>
  <c r="K111" i="5"/>
  <c r="K110" i="5"/>
  <c r="K109" i="5"/>
  <c r="K108" i="5"/>
  <c r="K107" i="5"/>
  <c r="J46" i="5"/>
  <c r="J33" i="5"/>
  <c r="J51" i="5"/>
  <c r="J50" i="5"/>
  <c r="J49" i="5"/>
  <c r="J48" i="5"/>
  <c r="J47" i="5"/>
  <c r="J38" i="5"/>
  <c r="J37" i="5"/>
  <c r="J36" i="5"/>
  <c r="J35" i="5"/>
  <c r="J34" i="5"/>
  <c r="C54" i="8" l="1"/>
  <c r="AM52" i="8"/>
  <c r="C15" i="2"/>
  <c r="C56" i="8" l="1"/>
  <c r="AM54" i="8"/>
  <c r="AU15" i="3"/>
  <c r="AU24" i="3" s="1"/>
  <c r="AU37" i="3" s="1"/>
  <c r="AU46" i="3" s="1"/>
  <c r="C58" i="8" l="1"/>
  <c r="AM56" i="8"/>
  <c r="C60" i="8" l="1"/>
  <c r="AM58" i="8"/>
  <c r="AS13" i="5"/>
  <c r="AS14" i="5" s="1"/>
  <c r="AS18" i="5" s="1"/>
  <c r="AS20" i="5" s="1"/>
  <c r="AS22" i="5" s="1"/>
  <c r="AS25" i="5" s="1"/>
  <c r="AS29" i="5" s="1"/>
  <c r="AS31" i="5" s="1"/>
  <c r="AS34" i="5" s="1"/>
  <c r="AS38" i="5" s="1"/>
  <c r="AS40" i="5" s="1"/>
  <c r="C62" i="8" l="1"/>
  <c r="AM62" i="8" s="1"/>
  <c r="AM60" i="8"/>
  <c r="AO167" i="3"/>
  <c r="AN167" i="3"/>
  <c r="AM167" i="3"/>
  <c r="AO165" i="3"/>
  <c r="AN165" i="3"/>
  <c r="AM165" i="3"/>
  <c r="AO163" i="3"/>
  <c r="AN163" i="3"/>
  <c r="AM163" i="3"/>
  <c r="AO161" i="3" l="1"/>
  <c r="AN161" i="3"/>
  <c r="AM161" i="3"/>
  <c r="AO159" i="3"/>
  <c r="AN159" i="3"/>
  <c r="AM159" i="3"/>
  <c r="AO157" i="3"/>
  <c r="AN157" i="3"/>
  <c r="AM157" i="3"/>
  <c r="AO155" i="3"/>
  <c r="AN155" i="3"/>
  <c r="AM155" i="3"/>
  <c r="AM151" i="3" s="1"/>
  <c r="M185" i="3" s="1"/>
  <c r="AO153" i="3"/>
  <c r="AN153" i="3"/>
  <c r="AM153" i="3"/>
  <c r="B197" i="3"/>
  <c r="B199" i="5"/>
  <c r="AN98" i="5" l="1"/>
  <c r="AM98" i="5"/>
  <c r="AM185" i="3" l="1"/>
  <c r="AL73" i="5"/>
  <c r="AL74" i="5"/>
  <c r="AL75" i="5"/>
  <c r="AL76" i="5"/>
  <c r="AL77" i="5"/>
  <c r="AL78" i="5"/>
  <c r="AL72" i="5"/>
  <c r="AL108" i="5"/>
  <c r="AL109" i="5"/>
  <c r="AL110" i="5"/>
  <c r="AL107" i="5"/>
  <c r="AL34" i="5"/>
  <c r="AL35" i="5"/>
  <c r="AL36" i="5"/>
  <c r="AL37" i="5"/>
  <c r="AL38" i="5"/>
  <c r="AL106" i="5" l="1"/>
  <c r="AN106" i="5"/>
  <c r="M194" i="5" s="1"/>
  <c r="AL32" i="5"/>
  <c r="AS96" i="3"/>
  <c r="AS97" i="3"/>
  <c r="AS98" i="3"/>
  <c r="AS99" i="3"/>
  <c r="AS100" i="3"/>
  <c r="AP96" i="3"/>
  <c r="AP98" i="3"/>
  <c r="AP99" i="3"/>
  <c r="AP100" i="3"/>
  <c r="AP95" i="3"/>
  <c r="AO96" i="3"/>
  <c r="AO97" i="3"/>
  <c r="AO98" i="3"/>
  <c r="AO95" i="3"/>
  <c r="AN96" i="3"/>
  <c r="AN98" i="3"/>
  <c r="AN99" i="3"/>
  <c r="AN100" i="3"/>
  <c r="AN95" i="3"/>
  <c r="AO45" i="3"/>
  <c r="AM45" i="3"/>
  <c r="AM46" i="3"/>
  <c r="AO94" i="3" l="1"/>
  <c r="AS94" i="3"/>
  <c r="M182" i="3" s="1"/>
  <c r="AO82" i="5"/>
  <c r="AO81" i="5"/>
  <c r="AL51" i="5"/>
  <c r="AL50" i="5"/>
  <c r="AL49" i="5"/>
  <c r="AL48" i="5"/>
  <c r="AL47" i="5"/>
  <c r="AN38" i="5"/>
  <c r="AQ106" i="5" l="1"/>
  <c r="M195" i="5" s="1"/>
  <c r="AL195" i="5" s="1"/>
  <c r="AL45" i="5"/>
  <c r="C20" i="2"/>
  <c r="F111" i="5" s="1"/>
  <c r="C19" i="2"/>
  <c r="C18" i="2"/>
  <c r="C17" i="2"/>
  <c r="C16" i="2"/>
  <c r="AD31" i="3"/>
  <c r="AD36" i="3"/>
  <c r="AD37" i="3"/>
  <c r="AD38" i="3"/>
  <c r="AD39" i="3"/>
  <c r="AD40" i="3"/>
  <c r="AD41" i="3"/>
  <c r="AD35" i="3"/>
  <c r="L72" i="5"/>
  <c r="L68" i="5"/>
  <c r="L74" i="5"/>
  <c r="L75" i="5"/>
  <c r="L76" i="5"/>
  <c r="L77" i="5"/>
  <c r="L78" i="5"/>
  <c r="L73" i="5"/>
  <c r="C87" i="3" l="1"/>
  <c r="C95" i="3"/>
  <c r="C88" i="3"/>
  <c r="C96" i="3"/>
  <c r="C89" i="3"/>
  <c r="C97" i="3"/>
  <c r="C90" i="3"/>
  <c r="C98" i="3"/>
  <c r="C99" i="3"/>
  <c r="C91" i="3"/>
  <c r="F47" i="5"/>
  <c r="F108" i="5"/>
  <c r="F34" i="5"/>
  <c r="F109" i="5"/>
  <c r="F35" i="5"/>
  <c r="F48" i="5"/>
  <c r="F33" i="5"/>
  <c r="F107" i="5"/>
  <c r="F46" i="5"/>
  <c r="F36" i="5"/>
  <c r="F49" i="5"/>
  <c r="F110" i="5"/>
  <c r="F37" i="5"/>
  <c r="F50" i="5"/>
  <c r="K172" i="3"/>
  <c r="AP85" i="3"/>
  <c r="AP97" i="3" s="1"/>
  <c r="G6" i="2"/>
  <c r="G13" i="2"/>
  <c r="AM113" i="5"/>
  <c r="AE14" i="3"/>
  <c r="Q54" i="3"/>
  <c r="AM47" i="3"/>
  <c r="AO46" i="3"/>
  <c r="AO47" i="3"/>
  <c r="AM44" i="3" l="1"/>
  <c r="M173" i="3" s="1"/>
  <c r="AM110" i="5"/>
  <c r="AM111" i="5"/>
  <c r="AM112" i="5"/>
  <c r="AM107" i="5"/>
  <c r="AM109" i="5"/>
  <c r="AM108" i="5"/>
  <c r="AM174" i="3"/>
  <c r="AH88" i="3"/>
  <c r="AH89" i="3"/>
  <c r="AO89" i="3" l="1"/>
  <c r="AN89" i="3"/>
  <c r="AO88" i="3"/>
  <c r="AN88" i="3"/>
  <c r="AM89" i="3"/>
  <c r="AM88" i="3"/>
  <c r="I87" i="3"/>
  <c r="J25" i="5"/>
  <c r="AM95" i="3" l="1"/>
  <c r="AM87" i="3"/>
  <c r="AM177" i="3"/>
  <c r="AL191" i="5" l="1"/>
  <c r="AG148" i="3" l="1"/>
  <c r="AH92" i="3"/>
  <c r="AC88" i="3"/>
  <c r="AC89" i="3"/>
  <c r="AC90" i="3"/>
  <c r="AC91" i="3"/>
  <c r="AC92" i="3"/>
  <c r="X88" i="3"/>
  <c r="X89" i="3"/>
  <c r="X90" i="3"/>
  <c r="X91" i="3"/>
  <c r="X92" i="3"/>
  <c r="S88" i="3"/>
  <c r="S89" i="3"/>
  <c r="S90" i="3"/>
  <c r="S91" i="3"/>
  <c r="S92" i="3"/>
  <c r="N88" i="3"/>
  <c r="N89" i="3"/>
  <c r="AN97" i="3" s="1"/>
  <c r="N90" i="3"/>
  <c r="N91" i="3"/>
  <c r="N92" i="3"/>
  <c r="AM97" i="3"/>
  <c r="I90" i="3"/>
  <c r="I91" i="3"/>
  <c r="I92" i="3"/>
  <c r="AC87" i="3"/>
  <c r="X87" i="3"/>
  <c r="S87" i="3"/>
  <c r="N87" i="3"/>
  <c r="N75" i="3"/>
  <c r="N76" i="3"/>
  <c r="N77" i="3"/>
  <c r="N78" i="3"/>
  <c r="N79" i="3"/>
  <c r="N80" i="3"/>
  <c r="N81" i="3"/>
  <c r="N82" i="3"/>
  <c r="N83" i="3"/>
  <c r="H75" i="3"/>
  <c r="H76" i="3"/>
  <c r="H77" i="3"/>
  <c r="H78" i="3"/>
  <c r="H79" i="3"/>
  <c r="H80" i="3"/>
  <c r="H81" i="3"/>
  <c r="H82" i="3"/>
  <c r="H83" i="3"/>
  <c r="C75" i="3"/>
  <c r="C76" i="3"/>
  <c r="C77" i="3"/>
  <c r="C78" i="3"/>
  <c r="C79" i="3"/>
  <c r="C80" i="3"/>
  <c r="C81" i="3"/>
  <c r="C82" i="3"/>
  <c r="C83" i="3"/>
  <c r="N74" i="3"/>
  <c r="H74" i="3"/>
  <c r="C74" i="3"/>
  <c r="N65" i="3"/>
  <c r="N66" i="3"/>
  <c r="N67" i="3"/>
  <c r="N68" i="3"/>
  <c r="N69" i="3"/>
  <c r="N70" i="3"/>
  <c r="N71" i="3"/>
  <c r="N72" i="3"/>
  <c r="N73" i="3"/>
  <c r="H65" i="3"/>
  <c r="H66" i="3"/>
  <c r="H67" i="3"/>
  <c r="H68" i="3"/>
  <c r="H69" i="3"/>
  <c r="H70" i="3"/>
  <c r="H71" i="3"/>
  <c r="H72" i="3"/>
  <c r="H73" i="3"/>
  <c r="C65" i="3"/>
  <c r="C66" i="3"/>
  <c r="C67" i="3"/>
  <c r="C68" i="3"/>
  <c r="C69" i="3"/>
  <c r="C70" i="3"/>
  <c r="C71" i="3"/>
  <c r="C72" i="3"/>
  <c r="C73" i="3"/>
  <c r="N64" i="3"/>
  <c r="H64" i="3"/>
  <c r="C64" i="3"/>
  <c r="J51" i="3"/>
  <c r="J50" i="3"/>
  <c r="O47" i="3"/>
  <c r="O46" i="3"/>
  <c r="O45" i="3"/>
  <c r="E47" i="3"/>
  <c r="E46" i="3"/>
  <c r="E45" i="3"/>
  <c r="Q36" i="3"/>
  <c r="Q37" i="3"/>
  <c r="Q38" i="3"/>
  <c r="Q39" i="3"/>
  <c r="Q40" i="3"/>
  <c r="Q41" i="3"/>
  <c r="Q35" i="3"/>
  <c r="M36" i="3"/>
  <c r="M37" i="3"/>
  <c r="M38" i="3"/>
  <c r="M39" i="3"/>
  <c r="M40" i="3"/>
  <c r="M41" i="3"/>
  <c r="M35" i="3"/>
  <c r="I36" i="3"/>
  <c r="I37" i="3"/>
  <c r="I38" i="3"/>
  <c r="I39" i="3"/>
  <c r="I40" i="3"/>
  <c r="I41" i="3"/>
  <c r="E36" i="3"/>
  <c r="L36" i="3" s="1"/>
  <c r="E37" i="3"/>
  <c r="L37" i="3" s="1"/>
  <c r="E38" i="3"/>
  <c r="L38" i="3" s="1"/>
  <c r="E39" i="3"/>
  <c r="L39" i="3" s="1"/>
  <c r="E40" i="3"/>
  <c r="L40" i="3" s="1"/>
  <c r="E41" i="3"/>
  <c r="L41" i="3" s="1"/>
  <c r="E35" i="3"/>
  <c r="Q31" i="3"/>
  <c r="M31" i="3"/>
  <c r="I31" i="3"/>
  <c r="Q30" i="3"/>
  <c r="M30" i="3"/>
  <c r="I30" i="3"/>
  <c r="E31" i="3"/>
  <c r="L31" i="3" s="1"/>
  <c r="E30" i="3"/>
  <c r="B36" i="3"/>
  <c r="B37" i="3"/>
  <c r="B38" i="3"/>
  <c r="B39" i="3"/>
  <c r="B40" i="3"/>
  <c r="B41" i="3"/>
  <c r="B35" i="3"/>
  <c r="AO92" i="3" l="1"/>
  <c r="AN92" i="3"/>
  <c r="AM100" i="3"/>
  <c r="AM92" i="3"/>
  <c r="AM99" i="3"/>
  <c r="AM91" i="3"/>
  <c r="AM98" i="3"/>
  <c r="AM90" i="3"/>
  <c r="AM96" i="3"/>
  <c r="L35" i="3"/>
  <c r="AM94" i="3" l="1"/>
  <c r="M178" i="3" s="1"/>
  <c r="AG104" i="3"/>
  <c r="AG58" i="3"/>
  <c r="AO88" i="5"/>
  <c r="AN88" i="5"/>
  <c r="AL188" i="5"/>
  <c r="AE147" i="5" l="1"/>
  <c r="AE146" i="5"/>
  <c r="D146" i="5"/>
  <c r="Y18" i="3" l="1"/>
  <c r="AX23" i="3"/>
  <c r="AT19" i="5" l="1"/>
  <c r="D128" i="5"/>
  <c r="AV46" i="3"/>
  <c r="AM70" i="5" l="1"/>
  <c r="AM64" i="5"/>
  <c r="E15" i="3" l="1"/>
  <c r="D148" i="3" s="1"/>
  <c r="B147" i="3"/>
  <c r="B103" i="3"/>
  <c r="B57" i="3"/>
  <c r="B145" i="5"/>
  <c r="B102" i="5"/>
  <c r="B55" i="5"/>
  <c r="AM123" i="3"/>
  <c r="AM24" i="3" l="1"/>
  <c r="AM23" i="3"/>
  <c r="B6" i="7"/>
  <c r="B34" i="7" s="1"/>
  <c r="B35" i="7" s="1"/>
  <c r="AL61" i="5"/>
  <c r="AL60" i="5"/>
  <c r="D15" i="2" l="1"/>
  <c r="AA24" i="5" s="1"/>
  <c r="AM64" i="3"/>
  <c r="AN64" i="3"/>
  <c r="AM51" i="3"/>
  <c r="AM50" i="3"/>
  <c r="P28" i="5"/>
  <c r="W23" i="5" l="1"/>
  <c r="AO50" i="3"/>
  <c r="AO86" i="5"/>
  <c r="AM86" i="5"/>
  <c r="AO83" i="5"/>
  <c r="AM83" i="5"/>
  <c r="AM82" i="5"/>
  <c r="AM51" i="5"/>
  <c r="AM50" i="5"/>
  <c r="AM49" i="5"/>
  <c r="AM48" i="5"/>
  <c r="AM47" i="5"/>
  <c r="AM46" i="5"/>
  <c r="AM34" i="5"/>
  <c r="AM35" i="5"/>
  <c r="AM36" i="5"/>
  <c r="AM37" i="5"/>
  <c r="AM38" i="5"/>
  <c r="AM33" i="5"/>
  <c r="AM81" i="5"/>
  <c r="M175" i="3" l="1"/>
  <c r="AM175" i="3" s="1"/>
  <c r="AM80" i="5"/>
  <c r="M187" i="5" s="1"/>
  <c r="AM85" i="5"/>
  <c r="M189" i="5" s="1"/>
  <c r="AL189" i="5" s="1"/>
  <c r="AM45" i="5"/>
  <c r="M185" i="5" s="1"/>
  <c r="AF16" i="3"/>
  <c r="AG149" i="3" s="1"/>
  <c r="I33" i="3"/>
  <c r="E33" i="3"/>
  <c r="I27" i="3"/>
  <c r="E27" i="3"/>
  <c r="L25" i="3"/>
  <c r="E25" i="3"/>
  <c r="L24" i="3"/>
  <c r="E24" i="3"/>
  <c r="E23" i="3"/>
  <c r="L22" i="3"/>
  <c r="E22" i="3"/>
  <c r="E16" i="3"/>
  <c r="AL80" i="5"/>
  <c r="AL59" i="5"/>
  <c r="AB41" i="5"/>
  <c r="X41" i="5"/>
  <c r="T41" i="5"/>
  <c r="P41" i="5"/>
  <c r="L41" i="5"/>
  <c r="L28" i="5"/>
  <c r="AB28" i="5"/>
  <c r="X28" i="5"/>
  <c r="T28" i="5"/>
  <c r="AM97" i="5"/>
  <c r="AL97" i="5"/>
  <c r="AL89" i="5"/>
  <c r="AM89" i="5"/>
  <c r="AL90" i="5"/>
  <c r="AM90" i="5"/>
  <c r="AL91" i="5"/>
  <c r="AM91" i="5"/>
  <c r="AL92" i="5"/>
  <c r="AM92" i="5"/>
  <c r="AL93" i="5"/>
  <c r="AM93" i="5"/>
  <c r="AL94" i="5"/>
  <c r="AM94" i="5"/>
  <c r="AL95" i="5"/>
  <c r="AM95" i="5"/>
  <c r="AL96" i="5"/>
  <c r="AM96" i="5"/>
  <c r="AM88" i="5"/>
  <c r="AL88" i="5"/>
  <c r="AL70" i="5"/>
  <c r="AL68" i="5"/>
  <c r="AL67" i="5"/>
  <c r="AL64" i="5"/>
  <c r="AE104" i="5"/>
  <c r="AE103" i="5"/>
  <c r="D103" i="5"/>
  <c r="AE57" i="5"/>
  <c r="AE56" i="5"/>
  <c r="D56" i="5"/>
  <c r="AL21" i="5"/>
  <c r="W21" i="5" s="1"/>
  <c r="BG1" i="5"/>
  <c r="AN123" i="3"/>
  <c r="AM41" i="3"/>
  <c r="AM40" i="3"/>
  <c r="AM39" i="3"/>
  <c r="AM38" i="3"/>
  <c r="AM37" i="3"/>
  <c r="AM36" i="3"/>
  <c r="AM35" i="3"/>
  <c r="AM31" i="3"/>
  <c r="AO83" i="3"/>
  <c r="AO82" i="3"/>
  <c r="AO81" i="3"/>
  <c r="AO80" i="3"/>
  <c r="AO79" i="3"/>
  <c r="AO78" i="3"/>
  <c r="AO77" i="3"/>
  <c r="AO76" i="3"/>
  <c r="AO75" i="3"/>
  <c r="AO74" i="3"/>
  <c r="AO73" i="3"/>
  <c r="AO72" i="3"/>
  <c r="AO71" i="3"/>
  <c r="AO70" i="3"/>
  <c r="AO69" i="3"/>
  <c r="AO68" i="3"/>
  <c r="AO67" i="3"/>
  <c r="AO66" i="3"/>
  <c r="AO65" i="3"/>
  <c r="AO64" i="3"/>
  <c r="AM30" i="3"/>
  <c r="AM33" i="3"/>
  <c r="AM27" i="3"/>
  <c r="AL187" i="5" l="1"/>
  <c r="W25" i="5"/>
  <c r="AM32" i="5"/>
  <c r="M184" i="5" s="1"/>
  <c r="AM106" i="5"/>
  <c r="AP94" i="3"/>
  <c r="AM173" i="3"/>
  <c r="M181" i="3" l="1"/>
  <c r="AM181" i="3" s="1"/>
  <c r="AM182" i="3"/>
  <c r="M180" i="3"/>
  <c r="AM180" i="3" s="1"/>
  <c r="M193" i="5"/>
  <c r="AL193" i="5" s="1"/>
  <c r="M192" i="5"/>
  <c r="AL192" i="5" s="1"/>
  <c r="AL185" i="5"/>
  <c r="AL184" i="5"/>
  <c r="H98" i="5"/>
  <c r="W24" i="5"/>
  <c r="AN94" i="3"/>
  <c r="AM99" i="5" l="1"/>
  <c r="M179" i="3"/>
  <c r="AM179" i="3" s="1"/>
  <c r="K54" i="3"/>
  <c r="AM54" i="3" s="1"/>
  <c r="AL194" i="5"/>
  <c r="AG105" i="3"/>
  <c r="D58" i="3"/>
  <c r="M190" i="5" l="1"/>
  <c r="AL190" i="5" s="1"/>
  <c r="AL183" i="5" s="1"/>
  <c r="AM56" i="3"/>
  <c r="M176" i="3" s="1"/>
  <c r="AM176" i="3" s="1"/>
  <c r="AM178" i="3"/>
  <c r="AG59" i="3"/>
  <c r="D104" i="3"/>
  <c r="AM14" i="3"/>
  <c r="M172" i="3" s="1"/>
  <c r="AM172" i="3" s="1"/>
  <c r="AM17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BDS</author>
    <author>Note</author>
    <author>Dewayne Smith</author>
  </authors>
  <commentList>
    <comment ref="E14" authorId="0" shapeId="0" xr:uid="{C55CD238-061E-45BF-9434-22A13911FAA3}">
      <text>
        <r>
          <rPr>
            <b/>
            <sz val="9"/>
            <color indexed="81"/>
            <rFont val="Tahoma"/>
            <family val="2"/>
          </rPr>
          <t>Note:</t>
        </r>
        <r>
          <rPr>
            <sz val="9"/>
            <color indexed="81"/>
            <rFont val="Tahoma"/>
            <family val="2"/>
          </rPr>
          <t xml:space="preserve">
Enter street address of proposed development.</t>
        </r>
      </text>
    </comment>
    <comment ref="AE14" authorId="0" shapeId="0" xr:uid="{6ACC92AC-F9DB-4E47-9AB4-9A57569D4C7D}">
      <text>
        <r>
          <rPr>
            <b/>
            <sz val="9"/>
            <color indexed="81"/>
            <rFont val="Tahoma"/>
            <family val="2"/>
          </rPr>
          <t>Note:</t>
        </r>
        <r>
          <rPr>
            <sz val="9"/>
            <color indexed="81"/>
            <rFont val="Tahoma"/>
            <family val="2"/>
          </rPr>
          <t xml:space="preserve">
Provide a unique BMP ID
Examples:
   Pond 1
   Pond A
   1
   A</t>
        </r>
      </text>
    </comment>
    <comment ref="AA19" authorId="0" shapeId="0" xr:uid="{85C581C2-F67F-4C82-96EC-1E6D0931755E}">
      <text>
        <r>
          <rPr>
            <b/>
            <sz val="9"/>
            <color indexed="81"/>
            <rFont val="Tahoma"/>
            <family val="2"/>
          </rPr>
          <t>Note:</t>
        </r>
        <r>
          <rPr>
            <sz val="9"/>
            <color indexed="81"/>
            <rFont val="Tahoma"/>
            <family val="2"/>
          </rPr>
          <t xml:space="preserve">
If there is no EIA, enter 0</t>
        </r>
      </text>
    </comment>
    <comment ref="L29" authorId="0" shapeId="0" xr:uid="{3D4FE7FD-718D-450E-8043-7B67F64EB9DF}">
      <text>
        <r>
          <rPr>
            <b/>
            <sz val="9"/>
            <color indexed="81"/>
            <rFont val="Tahoma"/>
            <family val="2"/>
          </rPr>
          <t>Note:</t>
        </r>
        <r>
          <rPr>
            <sz val="9"/>
            <color indexed="81"/>
            <rFont val="Tahoma"/>
            <family val="2"/>
          </rPr>
          <t xml:space="preserve">
Enter a unique Basin ID for each subbasin</t>
        </r>
      </text>
    </comment>
    <comment ref="L42" authorId="0" shapeId="0" xr:uid="{9DF27810-DD88-4DEF-A7C8-91C2F04AEFA3}">
      <text>
        <r>
          <rPr>
            <b/>
            <sz val="9"/>
            <color indexed="81"/>
            <rFont val="Tahoma"/>
            <family val="2"/>
          </rPr>
          <t>Note:</t>
        </r>
        <r>
          <rPr>
            <sz val="9"/>
            <color indexed="81"/>
            <rFont val="Tahoma"/>
            <family val="2"/>
          </rPr>
          <t xml:space="preserve">
Enter a unique Basin ID for each subbasin.  If there are more than 5 subbasins, enter the information for each subasin entering into the detention pond.</t>
        </r>
      </text>
    </comment>
    <comment ref="B72" authorId="1" shapeId="0" xr:uid="{31FBDE72-B96D-4AFC-A32E-71267581887C}">
      <text>
        <r>
          <rPr>
            <b/>
            <sz val="9"/>
            <color indexed="81"/>
            <rFont val="Tahoma"/>
            <family val="2"/>
          </rPr>
          <t>Note:</t>
        </r>
        <r>
          <rPr>
            <sz val="9"/>
            <color indexed="81"/>
            <rFont val="Tahoma"/>
            <family val="2"/>
          </rPr>
          <t xml:space="preserve">
Select control structure type:  Orifice or Weir</t>
        </r>
      </text>
    </comment>
    <comment ref="O84" authorId="2" shapeId="0" xr:uid="{67AFC25D-ED9C-44A7-ADC1-D0E6227680BB}">
      <text>
        <r>
          <rPr>
            <b/>
            <sz val="9"/>
            <color indexed="81"/>
            <rFont val="Tahoma"/>
            <family val="2"/>
          </rPr>
          <t>Note:</t>
        </r>
        <r>
          <rPr>
            <sz val="9"/>
            <color indexed="81"/>
            <rFont val="Tahoma"/>
            <family val="2"/>
          </rPr>
          <t xml:space="preserve">
Enter number in decimal format.  Example: 00.000000</t>
        </r>
      </text>
    </comment>
    <comment ref="W84" authorId="1" shapeId="0" xr:uid="{6762E1B3-3413-4AB1-BDBA-2F0A157AC93B}">
      <text>
        <r>
          <rPr>
            <b/>
            <sz val="9"/>
            <color indexed="81"/>
            <rFont val="Tahoma"/>
            <family val="2"/>
          </rPr>
          <t>Note:</t>
        </r>
        <r>
          <rPr>
            <sz val="9"/>
            <color indexed="81"/>
            <rFont val="Tahoma"/>
            <family val="2"/>
          </rPr>
          <t xml:space="preserve">
Enter number in decimal degrees.  Example: -00.000000</t>
        </r>
      </text>
    </comment>
    <comment ref="C88" authorId="0" shapeId="0" xr:uid="{2CFED518-D1A9-4B60-BDBC-A9A9E3DC834F}">
      <text>
        <r>
          <rPr>
            <b/>
            <sz val="9"/>
            <color indexed="81"/>
            <rFont val="Tahoma"/>
            <family val="2"/>
          </rPr>
          <t>Note:</t>
        </r>
        <r>
          <rPr>
            <sz val="9"/>
            <color indexed="81"/>
            <rFont val="Tahoma"/>
            <family val="2"/>
          </rPr>
          <t xml:space="preserve">
Include the elevation that represents the WQv</t>
        </r>
      </text>
    </comment>
    <comment ref="AD98" authorId="0" shapeId="0" xr:uid="{0CA60BB4-6411-42AA-84AF-A4D69206F8F8}">
      <text>
        <r>
          <rPr>
            <b/>
            <sz val="9"/>
            <color indexed="81"/>
            <rFont val="Tahoma"/>
            <family val="2"/>
          </rPr>
          <t>Note:</t>
        </r>
        <r>
          <rPr>
            <sz val="9"/>
            <color indexed="81"/>
            <rFont val="Tahoma"/>
            <family val="2"/>
          </rPr>
          <t xml:space="preserve">
Enter the elevation that correlates to the WQv</t>
        </r>
      </text>
    </comment>
    <comment ref="F137" authorId="0" shapeId="0" xr:uid="{3D1D5ADD-6354-4D61-BCFA-1452D8DB6318}">
      <text>
        <r>
          <rPr>
            <b/>
            <sz val="9"/>
            <color indexed="81"/>
            <rFont val="Tahoma"/>
            <family val="2"/>
          </rPr>
          <t>Note:</t>
        </r>
        <r>
          <rPr>
            <sz val="9"/>
            <color indexed="81"/>
            <rFont val="Tahoma"/>
            <family val="2"/>
          </rPr>
          <t xml:space="preserve">
Enter street addres of proposed development</t>
        </r>
      </text>
    </comment>
    <comment ref="AD142" authorId="0" shapeId="0" xr:uid="{53598FF7-A619-432B-A9DD-CE90AEFEEEDA}">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2.  If comments are shown in the Automated Review Checks, resolve the comments or provide an explination in the comments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5" authorId="0" shapeId="0" xr:uid="{2878E7EA-7AE6-4A2A-94BD-D53AC67A10AD}">
      <text>
        <r>
          <rPr>
            <b/>
            <sz val="9"/>
            <color indexed="81"/>
            <rFont val="Tahoma"/>
            <family val="2"/>
          </rPr>
          <t>Note:</t>
        </r>
        <r>
          <rPr>
            <sz val="9"/>
            <color indexed="81"/>
            <rFont val="Tahoma"/>
            <family val="2"/>
          </rPr>
          <t xml:space="preserve">
Enter street address of proposed development</t>
        </r>
      </text>
    </comment>
    <comment ref="AE15" authorId="0" shapeId="0" xr:uid="{8E3663BC-34A3-46EE-AC39-1741E3C23A50}">
      <text>
        <r>
          <rPr>
            <b/>
            <sz val="9"/>
            <color indexed="81"/>
            <rFont val="Tahoma"/>
            <family val="2"/>
          </rPr>
          <t>Note:</t>
        </r>
        <r>
          <rPr>
            <sz val="9"/>
            <color indexed="81"/>
            <rFont val="Tahoma"/>
            <family val="2"/>
          </rPr>
          <t xml:space="preserve">
Enter number in decimal format.  Example: 00.000000</t>
        </r>
      </text>
    </comment>
    <comment ref="AE16" authorId="0" shapeId="0" xr:uid="{6EB7E8A5-3ACB-47CC-9509-934783EFBDED}">
      <text>
        <r>
          <rPr>
            <b/>
            <sz val="9"/>
            <color indexed="81"/>
            <rFont val="Tahoma"/>
            <family val="2"/>
          </rPr>
          <t>Note:</t>
        </r>
        <r>
          <rPr>
            <sz val="9"/>
            <color indexed="81"/>
            <rFont val="Tahoma"/>
            <family val="2"/>
          </rPr>
          <t xml:space="preserve">
Enter number in decimal format.  Example: -00.000000</t>
        </r>
      </text>
    </comment>
    <comment ref="E85" authorId="0" shapeId="0" xr:uid="{18EA9110-3710-46A6-B50E-129AA29F6E00}">
      <text>
        <r>
          <rPr>
            <b/>
            <sz val="9"/>
            <color indexed="81"/>
            <rFont val="Tahoma"/>
            <family val="2"/>
          </rPr>
          <t>Note:</t>
        </r>
        <r>
          <rPr>
            <sz val="9"/>
            <color indexed="81"/>
            <rFont val="Tahoma"/>
            <family val="2"/>
          </rPr>
          <t xml:space="preserve">
Enter street address of proposed development</t>
        </r>
      </text>
    </comment>
    <comment ref="AC90" authorId="0" shapeId="0" xr:uid="{369B5333-883A-404A-B778-31E2A0F00BFE}">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or provide an explanation in the comments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AD50" authorId="0" shapeId="0" xr:uid="{5F762452-803F-45FE-8887-E68BDC5C7870}">
      <text>
        <r>
          <rPr>
            <b/>
            <sz val="9"/>
            <color indexed="81"/>
            <rFont val="Tahoma"/>
            <family val="2"/>
          </rPr>
          <t>Note:</t>
        </r>
        <r>
          <rPr>
            <sz val="9"/>
            <color indexed="81"/>
            <rFont val="Tahoma"/>
            <family val="2"/>
          </rPr>
          <t xml:space="preserve">
Enter number in decimal format.
Example: 00.000000</t>
        </r>
      </text>
    </comment>
    <comment ref="AD51" authorId="0" shapeId="0" xr:uid="{A39AAF87-BA30-45BB-BEC0-515A1416D0CB}">
      <text>
        <r>
          <rPr>
            <b/>
            <sz val="9"/>
            <color indexed="81"/>
            <rFont val="Tahoma"/>
            <family val="2"/>
          </rPr>
          <t>Note:</t>
        </r>
        <r>
          <rPr>
            <sz val="9"/>
            <color indexed="81"/>
            <rFont val="Tahoma"/>
            <family val="2"/>
          </rPr>
          <t xml:space="preserve">
Enter number in decimal format.
Example: 00.000000</t>
        </r>
      </text>
    </comment>
    <comment ref="E138" authorId="0" shapeId="0" xr:uid="{99DB24EF-9B39-44DF-A32D-FAA5F0E29C6F}">
      <text>
        <r>
          <rPr>
            <b/>
            <sz val="9"/>
            <color indexed="81"/>
            <rFont val="Tahoma"/>
            <family val="2"/>
          </rPr>
          <t>Note:</t>
        </r>
        <r>
          <rPr>
            <sz val="9"/>
            <color indexed="81"/>
            <rFont val="Tahoma"/>
            <family val="2"/>
          </rPr>
          <t xml:space="preserve">
Enter street addres of proposed development</t>
        </r>
      </text>
    </comment>
    <comment ref="AC143" authorId="0" shapeId="0" xr:uid="{E7703903-6AF8-4EDE-BDCC-5E0C93F02E7E}">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2.  If comments are shown in the Automated Review Checks, resolve the comments or provide an explination in the comments section.</t>
        </r>
      </text>
    </comment>
  </commentList>
</comments>
</file>

<file path=xl/sharedStrings.xml><?xml version="1.0" encoding="utf-8"?>
<sst xmlns="http://schemas.openxmlformats.org/spreadsheetml/2006/main" count="1130" uniqueCount="421">
  <si>
    <t>Development Information</t>
  </si>
  <si>
    <t>Name:</t>
  </si>
  <si>
    <t>Proposed Impervious Area (PIA)</t>
  </si>
  <si>
    <t>Pre-Development</t>
  </si>
  <si>
    <t>Curve Number:</t>
  </si>
  <si>
    <t>(WQ)</t>
  </si>
  <si>
    <t>(2-yr)</t>
  </si>
  <si>
    <t>(5-yr)</t>
  </si>
  <si>
    <t>(10-yr)</t>
  </si>
  <si>
    <t>(25-yr)</t>
  </si>
  <si>
    <t>(100-yr)</t>
  </si>
  <si>
    <t>Post-Development</t>
  </si>
  <si>
    <t>Post Total</t>
  </si>
  <si>
    <t>Pre Total</t>
  </si>
  <si>
    <t>Multi-Stage Riser</t>
  </si>
  <si>
    <t>Emergency Spillway</t>
  </si>
  <si>
    <t>Outfall Location</t>
  </si>
  <si>
    <t>Elevation</t>
  </si>
  <si>
    <t>Area</t>
  </si>
  <si>
    <t>Professional Engineer Certification</t>
  </si>
  <si>
    <t>Date:</t>
  </si>
  <si>
    <t>Approval Status:</t>
  </si>
  <si>
    <t>Comments:</t>
  </si>
  <si>
    <t>Material</t>
  </si>
  <si>
    <t>Concrete</t>
  </si>
  <si>
    <t>Metal</t>
  </si>
  <si>
    <t>HDPP</t>
  </si>
  <si>
    <t>PVC</t>
  </si>
  <si>
    <t>HDPE</t>
  </si>
  <si>
    <t>Material:</t>
  </si>
  <si>
    <t>Other</t>
  </si>
  <si>
    <t>Select</t>
  </si>
  <si>
    <t>Shape:</t>
  </si>
  <si>
    <t>Shape</t>
  </si>
  <si>
    <t>BMP ID:</t>
  </si>
  <si>
    <t>acres</t>
  </si>
  <si>
    <r>
      <t>Water Quality Volume (WQ</t>
    </r>
    <r>
      <rPr>
        <vertAlign val="subscript"/>
        <sz val="10"/>
        <color theme="1"/>
        <rFont val="Calibri"/>
        <family val="2"/>
      </rPr>
      <t>v</t>
    </r>
    <r>
      <rPr>
        <sz val="10"/>
        <color theme="1"/>
        <rFont val="Calibri"/>
        <family val="2"/>
        <scheme val="minor"/>
      </rPr>
      <t>):</t>
    </r>
  </si>
  <si>
    <r>
      <t>ft</t>
    </r>
    <r>
      <rPr>
        <vertAlign val="superscript"/>
        <sz val="8"/>
        <color theme="1"/>
        <rFont val="Calibri"/>
        <family val="2"/>
      </rPr>
      <t>3</t>
    </r>
  </si>
  <si>
    <r>
      <t>WQ</t>
    </r>
    <r>
      <rPr>
        <vertAlign val="subscript"/>
        <sz val="10"/>
        <color theme="1"/>
        <rFont val="Calibri"/>
        <family val="2"/>
      </rPr>
      <t>v</t>
    </r>
    <r>
      <rPr>
        <sz val="10"/>
        <color theme="1"/>
        <rFont val="Calibri"/>
        <family val="2"/>
        <scheme val="minor"/>
      </rPr>
      <t xml:space="preserve"> = </t>
    </r>
  </si>
  <si>
    <r>
      <t>ft</t>
    </r>
    <r>
      <rPr>
        <vertAlign val="superscript"/>
        <sz val="10"/>
        <color theme="1"/>
        <rFont val="Calibri"/>
        <family val="2"/>
      </rPr>
      <t>2</t>
    </r>
  </si>
  <si>
    <t>Width:</t>
  </si>
  <si>
    <t>Inv. EL</t>
  </si>
  <si>
    <t>in</t>
  </si>
  <si>
    <t>ft</t>
  </si>
  <si>
    <t>Length:</t>
  </si>
  <si>
    <t>Top EL.:</t>
  </si>
  <si>
    <t>Latitude:</t>
  </si>
  <si>
    <t>Longitude:</t>
  </si>
  <si>
    <t>Basin ID:</t>
  </si>
  <si>
    <t>Cumulative Vol.</t>
  </si>
  <si>
    <t>Width</t>
  </si>
  <si>
    <t>Time of Concentration (min):</t>
  </si>
  <si>
    <t>Additional Impervious Area (AIA) = PIA - EIA</t>
  </si>
  <si>
    <t>Form 3A - Detention Pond
As-Built Certification Form</t>
  </si>
  <si>
    <t>Design</t>
  </si>
  <si>
    <t>As-Built</t>
  </si>
  <si>
    <t>Water Quality Volume (WQv)</t>
  </si>
  <si>
    <t>WQv Required:</t>
  </si>
  <si>
    <t>WQv Provided:</t>
  </si>
  <si>
    <t>Reviewed:</t>
  </si>
  <si>
    <r>
      <t>Pre Q
(ft</t>
    </r>
    <r>
      <rPr>
        <vertAlign val="superscript"/>
        <sz val="8"/>
        <color theme="1"/>
        <rFont val="Calibri"/>
        <family val="2"/>
      </rPr>
      <t>3</t>
    </r>
    <r>
      <rPr>
        <sz val="10"/>
        <color theme="1"/>
        <rFont val="Calibri"/>
        <family val="2"/>
        <scheme val="minor"/>
      </rPr>
      <t>/s)</t>
    </r>
  </si>
  <si>
    <r>
      <t>Pond In Q
(ft</t>
    </r>
    <r>
      <rPr>
        <vertAlign val="superscript"/>
        <sz val="8"/>
        <color theme="1"/>
        <rFont val="Calibri"/>
        <family val="2"/>
      </rPr>
      <t>3</t>
    </r>
    <r>
      <rPr>
        <sz val="10"/>
        <color theme="1"/>
        <rFont val="Calibri"/>
        <family val="2"/>
        <scheme val="minor"/>
      </rPr>
      <t>/s)</t>
    </r>
  </si>
  <si>
    <r>
      <t>Pond Out 
Q (ft</t>
    </r>
    <r>
      <rPr>
        <vertAlign val="superscript"/>
        <sz val="8"/>
        <color theme="1"/>
        <rFont val="Calibri"/>
        <family val="2"/>
      </rPr>
      <t>3</t>
    </r>
    <r>
      <rPr>
        <sz val="10"/>
        <color theme="1"/>
        <rFont val="Calibri"/>
        <family val="2"/>
        <scheme val="minor"/>
      </rPr>
      <t>/s)</t>
    </r>
  </si>
  <si>
    <t>Max Stage
(ft)</t>
  </si>
  <si>
    <r>
      <t>Total Post 
Q (ft</t>
    </r>
    <r>
      <rPr>
        <vertAlign val="superscript"/>
        <sz val="8"/>
        <color theme="1"/>
        <rFont val="Calibri"/>
        <family val="2"/>
      </rPr>
      <t>3</t>
    </r>
    <r>
      <rPr>
        <sz val="10"/>
        <color theme="1"/>
        <rFont val="Calibri"/>
        <family val="2"/>
        <scheme val="minor"/>
      </rPr>
      <t>/s)</t>
    </r>
  </si>
  <si>
    <t>Type</t>
  </si>
  <si>
    <t>Enter data as applicable for the proposed design.</t>
  </si>
  <si>
    <t>General Instructions</t>
  </si>
  <si>
    <t>Field Types</t>
  </si>
  <si>
    <t>Supplemental Instructions</t>
  </si>
  <si>
    <t>Use the drop down list to select a shape.</t>
  </si>
  <si>
    <t>Riprap</t>
  </si>
  <si>
    <t>Earthen</t>
  </si>
  <si>
    <t>Geotextile</t>
  </si>
  <si>
    <t>Total Post Q &gt; Pre Q</t>
  </si>
  <si>
    <t>Max Stage</t>
  </si>
  <si>
    <t>Total Post</t>
  </si>
  <si>
    <t>Post Total not completed</t>
  </si>
  <si>
    <t>Length</t>
  </si>
  <si>
    <t>Crest</t>
  </si>
  <si>
    <t>Top</t>
  </si>
  <si>
    <t>E. Spillway</t>
  </si>
  <si>
    <t>Design Response</t>
  </si>
  <si>
    <t>Emergency Spillway Section not completed</t>
  </si>
  <si>
    <t>Max Stage:</t>
  </si>
  <si>
    <t>Automated Review Checks</t>
  </si>
  <si>
    <t>Form Section</t>
  </si>
  <si>
    <t>Comments</t>
  </si>
  <si>
    <t>Pre-Development:</t>
  </si>
  <si>
    <t>Post-Development:</t>
  </si>
  <si>
    <t>Emergency Spillway:</t>
  </si>
  <si>
    <t>Pond Discharge Summary:</t>
  </si>
  <si>
    <t>Total Post Q:</t>
  </si>
  <si>
    <t>Photographs, at a minimum, shall include the following:</t>
  </si>
  <si>
    <t>The developer / owner shall retain the services of a professional land surveyor to:</t>
  </si>
  <si>
    <t>Develop an as-built drawing.</t>
  </si>
  <si>
    <t>a.</t>
  </si>
  <si>
    <t>b.</t>
  </si>
  <si>
    <t>The developer shall retain the services of a professional engineer to:</t>
  </si>
  <si>
    <t>Photographs</t>
  </si>
  <si>
    <t>Storm sewers showing pipes, inlets, junction boxes, outlets, outlet protection, and invert elevations</t>
  </si>
  <si>
    <t>Detail of emergency spillway showing elevations and dimensions</t>
  </si>
  <si>
    <t xml:space="preserve">General overview of the detention pond </t>
  </si>
  <si>
    <t>Outlet pipe discharge location and outlet protection</t>
  </si>
  <si>
    <t>Emergency spillway and discharge location</t>
  </si>
  <si>
    <t>Pipes that discharge into the detention pond</t>
  </si>
  <si>
    <t>Location where detention pond discharges into receiving stream, culvert, or channel</t>
  </si>
  <si>
    <t>Prior to approval of the Final Plat.</t>
  </si>
  <si>
    <t>Provide ALL required attachments:</t>
  </si>
  <si>
    <t>As-built survey, at a minimum, shall include the following:</t>
  </si>
  <si>
    <t>The issuance of a Certificate of Occupancy; and/or,</t>
  </si>
  <si>
    <t>e.</t>
  </si>
  <si>
    <t>c.</t>
  </si>
  <si>
    <t>d.</t>
  </si>
  <si>
    <t>f.</t>
  </si>
  <si>
    <t>•</t>
  </si>
  <si>
    <t>Use the as-built survey data to complete Form 3A – Detention Pond As-built Certification Form;</t>
  </si>
  <si>
    <t>Outfall Location:</t>
  </si>
  <si>
    <t>Latitude and/or Longitude not provided</t>
  </si>
  <si>
    <t>Max Stage for 2, 5, 10, and/or 25-year storm  &gt; Emergency Spillway Crest Elevation</t>
  </si>
  <si>
    <t xml:space="preserve">This is a calculated field.  Once the required information is entered, the orange highlight will be removed. </t>
  </si>
  <si>
    <t>Use the drop down list to select a material.</t>
  </si>
  <si>
    <t>Review Status</t>
  </si>
  <si>
    <t>General design standards and requirements shall be as follows:</t>
  </si>
  <si>
    <t xml:space="preserve"> As-built Survey</t>
  </si>
  <si>
    <t xml:space="preserve"> As-built H&amp;H Calculations</t>
  </si>
  <si>
    <t xml:space="preserve"> O&amp;M Agreement</t>
  </si>
  <si>
    <t>Attachments:</t>
  </si>
  <si>
    <t xml:space="preserve"> Photos</t>
  </si>
  <si>
    <t xml:space="preserve"> Yes</t>
  </si>
  <si>
    <t xml:space="preserve"> No</t>
  </si>
  <si>
    <t xml:space="preserve"> Approved</t>
  </si>
  <si>
    <t xml:space="preserve"> Approved Contingent</t>
  </si>
  <si>
    <t xml:space="preserve"> Denied</t>
  </si>
  <si>
    <t xml:space="preserve"> Incomplete</t>
  </si>
  <si>
    <r>
      <t>Pre Q
(ft</t>
    </r>
    <r>
      <rPr>
        <vertAlign val="superscript"/>
        <sz val="9"/>
        <color theme="1"/>
        <rFont val="Calibri"/>
        <family val="2"/>
      </rPr>
      <t>3</t>
    </r>
    <r>
      <rPr>
        <sz val="9"/>
        <color theme="1"/>
        <rFont val="Calibri"/>
        <family val="2"/>
        <scheme val="minor"/>
      </rPr>
      <t>/s)</t>
    </r>
  </si>
  <si>
    <r>
      <t>Pond In Q
(ft</t>
    </r>
    <r>
      <rPr>
        <vertAlign val="superscript"/>
        <sz val="9"/>
        <color theme="1"/>
        <rFont val="Calibri"/>
        <family val="2"/>
      </rPr>
      <t>3</t>
    </r>
    <r>
      <rPr>
        <sz val="9"/>
        <color theme="1"/>
        <rFont val="Calibri"/>
        <family val="2"/>
        <scheme val="minor"/>
      </rPr>
      <t>/s)</t>
    </r>
  </si>
  <si>
    <r>
      <t>Pond Out 
Q (ft</t>
    </r>
    <r>
      <rPr>
        <vertAlign val="superscript"/>
        <sz val="9"/>
        <color theme="1"/>
        <rFont val="Calibri"/>
        <family val="2"/>
      </rPr>
      <t>3</t>
    </r>
    <r>
      <rPr>
        <sz val="9"/>
        <color theme="1"/>
        <rFont val="Calibri"/>
        <family val="2"/>
        <scheme val="minor"/>
      </rPr>
      <t>/s)</t>
    </r>
  </si>
  <si>
    <r>
      <t>Total Post 
Q (ft</t>
    </r>
    <r>
      <rPr>
        <vertAlign val="superscript"/>
        <sz val="9"/>
        <color theme="1"/>
        <rFont val="Calibri"/>
        <family val="2"/>
      </rPr>
      <t>3</t>
    </r>
    <r>
      <rPr>
        <sz val="9"/>
        <color theme="1"/>
        <rFont val="Calibri"/>
        <family val="2"/>
        <scheme val="minor"/>
      </rPr>
      <t>/s)</t>
    </r>
  </si>
  <si>
    <t xml:space="preserve"> Design Drawings</t>
  </si>
  <si>
    <t xml:space="preserve"> H&amp;H Calculations</t>
  </si>
  <si>
    <t xml:space="preserve"> Drainage Basin Maps</t>
  </si>
  <si>
    <t>Drainage Area (acre):</t>
  </si>
  <si>
    <t>Owner's Information</t>
  </si>
  <si>
    <t xml:space="preserve"> Not Applicable</t>
  </si>
  <si>
    <t xml:space="preserve">Name: </t>
  </si>
  <si>
    <t xml:space="preserve">Address: </t>
  </si>
  <si>
    <t xml:space="preserve">Email: </t>
  </si>
  <si>
    <t xml:space="preserve">HOA Name: </t>
  </si>
  <si>
    <t xml:space="preserve">State: </t>
  </si>
  <si>
    <t xml:space="preserve">Zip Code: </t>
  </si>
  <si>
    <t xml:space="preserve">Phone: </t>
  </si>
  <si>
    <t xml:space="preserve">Title: </t>
  </si>
  <si>
    <t xml:space="preserve">Detail Attached: </t>
  </si>
  <si>
    <t>No</t>
  </si>
  <si>
    <t>Lat</t>
  </si>
  <si>
    <t>Long</t>
  </si>
  <si>
    <t>Lat &amp; Long</t>
  </si>
  <si>
    <r>
      <t>WQ</t>
    </r>
    <r>
      <rPr>
        <vertAlign val="subscript"/>
        <sz val="10"/>
        <color theme="1"/>
        <rFont val="Calibri"/>
        <family val="2"/>
        <scheme val="minor"/>
      </rPr>
      <t>v</t>
    </r>
    <r>
      <rPr>
        <sz val="10"/>
        <color theme="1"/>
        <rFont val="Calibri"/>
        <family val="2"/>
        <scheme val="minor"/>
      </rPr>
      <t>:</t>
    </r>
  </si>
  <si>
    <r>
      <t>WQ</t>
    </r>
    <r>
      <rPr>
        <vertAlign val="subscript"/>
        <sz val="11"/>
        <color theme="1"/>
        <rFont val="Calibri"/>
        <family val="2"/>
        <scheme val="minor"/>
      </rPr>
      <t>v</t>
    </r>
    <r>
      <rPr>
        <sz val="11"/>
        <color theme="1"/>
        <rFont val="Calibri"/>
        <family val="2"/>
        <scheme val="minor"/>
      </rPr>
      <t xml:space="preserve"> Required &gt; WQ</t>
    </r>
    <r>
      <rPr>
        <vertAlign val="subscript"/>
        <sz val="11"/>
        <color theme="1"/>
        <rFont val="Calibri"/>
        <family val="2"/>
        <scheme val="minor"/>
      </rPr>
      <t>v</t>
    </r>
    <r>
      <rPr>
        <sz val="11"/>
        <color theme="1"/>
        <rFont val="Calibri"/>
        <family val="2"/>
        <scheme val="minor"/>
      </rPr>
      <t xml:space="preserve"> Provided</t>
    </r>
  </si>
  <si>
    <t>WQv</t>
  </si>
  <si>
    <t>Pre Q</t>
  </si>
  <si>
    <t>Pond In Q</t>
  </si>
  <si>
    <t>Pre Q:</t>
  </si>
  <si>
    <t>Pond In Q:</t>
  </si>
  <si>
    <t>Montgomery</t>
  </si>
  <si>
    <t>Hoover</t>
  </si>
  <si>
    <t>Prattville</t>
  </si>
  <si>
    <t>Mobile</t>
  </si>
  <si>
    <t xml:space="preserve">Select City: </t>
  </si>
  <si>
    <t xml:space="preserve"> Photographs</t>
  </si>
  <si>
    <t>Development Information:</t>
  </si>
  <si>
    <t xml:space="preserve">Date: </t>
  </si>
  <si>
    <t xml:space="preserve">BMP ID: </t>
  </si>
  <si>
    <t xml:space="preserve">Latitude: </t>
  </si>
  <si>
    <t xml:space="preserve">Longitude: </t>
  </si>
  <si>
    <t xml:space="preserve">Contact: </t>
  </si>
  <si>
    <t>Yes</t>
  </si>
  <si>
    <t xml:space="preserve">Company: </t>
  </si>
  <si>
    <t xml:space="preserve">Signature: </t>
  </si>
  <si>
    <t>Select either "Yes" or "No" by placing an "X" in the appropriate box.  Once an "X" is entered, the green highlight will be removed.</t>
  </si>
  <si>
    <t>The Supplemental Instructions provide additional guidance and design standards.</t>
  </si>
  <si>
    <t>Once the Design, As-built, or Inspection Forms are completed, there should be no green, yellow, or orange highlighted fields.</t>
  </si>
  <si>
    <t>Automated Review Checks:  Once information and data are entered into the form, the form will check the information entered and identify any potential issues or concerns.  Prior to printing the form, all automated comments shall be resolved.</t>
  </si>
  <si>
    <t>Round</t>
  </si>
  <si>
    <t>Rectangle</t>
  </si>
  <si>
    <t>Square</t>
  </si>
  <si>
    <t>Trapezoid</t>
  </si>
  <si>
    <t>Revision Date:</t>
  </si>
  <si>
    <t>Jefferson</t>
  </si>
  <si>
    <t>Velocity
(ft/s)</t>
  </si>
  <si>
    <t>Velocity:</t>
  </si>
  <si>
    <t>City</t>
  </si>
  <si>
    <t>County</t>
  </si>
  <si>
    <t>Type:</t>
  </si>
  <si>
    <t>1 July 2018</t>
  </si>
  <si>
    <t>1 October 2015</t>
  </si>
  <si>
    <t>1 October 2020</t>
  </si>
  <si>
    <t>1 February 2020</t>
  </si>
  <si>
    <t>Effective Date:</t>
  </si>
  <si>
    <t>By affixing my professional seal and signature on this form, I hereby certify that the detention pond:</t>
  </si>
  <si>
    <t>Provides the required water quality volume (WQv);</t>
  </si>
  <si>
    <t>Drainage areas shown in the hydrology and hydraulic (H&amp;H) calculations drain into the detention pond; and,</t>
  </si>
  <si>
    <t xml:space="preserve">Post-development runoff mimics pre-development hydrology to the maximum extent practicable (MEP). </t>
  </si>
  <si>
    <t>Entity Type:</t>
  </si>
  <si>
    <t>Maintenance Agreement:</t>
  </si>
  <si>
    <t xml:space="preserve"> Covenant</t>
  </si>
  <si>
    <t>By affixing my professional seal and signature on this form, I hereby certify that the detention pond has been constructed in accordance with the approved design.  I further certify that the drainage areas shown in the approved hydrology and hydraulic (H&amp;H) calculations do in fact drain into the detention pond and that the post-development runoff mimics pre-development hydrology to the maximum extent practicable (MEP).</t>
  </si>
  <si>
    <t>Perform a field survey of the constructed detention pond; and,</t>
  </si>
  <si>
    <t xml:space="preserve"> As-Built Survey Drawing(s)</t>
  </si>
  <si>
    <t>Velocity</t>
  </si>
  <si>
    <t>Home Owners Association (HOA) Information</t>
  </si>
  <si>
    <t>Printing the form may require some adjustments to the print settings for the printer being used.</t>
  </si>
  <si>
    <t>of the development;</t>
  </si>
  <si>
    <t>The calculation methodology shall utilize the National Resource Conservation Resources (NRCS) Urban</t>
  </si>
  <si>
    <t>All applicable developments shall be responsible for ensuring that post-development hydrology mimics</t>
  </si>
  <si>
    <t>adversely impact and/or cause flooding of structures within the development;</t>
  </si>
  <si>
    <t>drain slowly from the detention pond within a 48-hour period;</t>
  </si>
  <si>
    <t>outlet pipe, WQ filter, etc.</t>
  </si>
  <si>
    <r>
      <t>Filtration system for the WQ</t>
    </r>
    <r>
      <rPr>
        <vertAlign val="subscript"/>
        <sz val="10"/>
        <color theme="1"/>
        <rFont val="Calibri"/>
        <family val="2"/>
        <scheme val="minor"/>
      </rPr>
      <t>v</t>
    </r>
    <r>
      <rPr>
        <sz val="10"/>
        <color theme="1"/>
        <rFont val="Calibri"/>
        <family val="2"/>
        <scheme val="minor"/>
      </rPr>
      <t xml:space="preserve"> Orifice shall allow the volume of stormwater associated with the WQ</t>
    </r>
    <r>
      <rPr>
        <vertAlign val="subscript"/>
        <sz val="10"/>
        <color theme="1"/>
        <rFont val="Calibri"/>
        <family val="2"/>
        <scheme val="minor"/>
      </rPr>
      <t>v</t>
    </r>
    <r>
      <rPr>
        <sz val="10"/>
        <color theme="1"/>
        <rFont val="Calibri"/>
        <family val="2"/>
        <scheme val="minor"/>
      </rPr>
      <t xml:space="preserve"> to</t>
    </r>
  </si>
  <si>
    <t>Current Logo</t>
  </si>
  <si>
    <t>If a field is highlighted yellow after a number is entered, the yellow highlight may indicate an error and/or concern.  Once the error and/or concern is resolved, the yellow highlight will be removed.  All yellow highlighted cells shall be resolved or an explanation provided prior to completing the form.</t>
  </si>
  <si>
    <t>Max Elev.
(ft)</t>
  </si>
  <si>
    <t>Freeboard  &lt;  1.0 ft</t>
  </si>
  <si>
    <t>Emergency Spillway Freeboard:</t>
  </si>
  <si>
    <t xml:space="preserve">City: </t>
  </si>
  <si>
    <t>This is a required field.  Once a number or text is entered, the green highlight will be removed.</t>
  </si>
  <si>
    <t xml:space="preserve">Total Area: </t>
  </si>
  <si>
    <t xml:space="preserve">Buildings / Structures: </t>
  </si>
  <si>
    <t xml:space="preserve">Driveways / Sidewalks: </t>
  </si>
  <si>
    <t xml:space="preserve">Roads: </t>
  </si>
  <si>
    <t xml:space="preserve">Parking: </t>
  </si>
  <si>
    <t xml:space="preserve">Other: </t>
  </si>
  <si>
    <t xml:space="preserve">Total PIA: </t>
  </si>
  <si>
    <t xml:space="preserve">Existing Impervious Area (EIA): </t>
  </si>
  <si>
    <t xml:space="preserve">AIA = </t>
  </si>
  <si>
    <t xml:space="preserve">Material: </t>
  </si>
  <si>
    <t xml:space="preserve">Diameter: </t>
  </si>
  <si>
    <t xml:space="preserve">Width: </t>
  </si>
  <si>
    <t xml:space="preserve">Bottom EL.: </t>
  </si>
  <si>
    <t xml:space="preserve">Trash Rack: </t>
  </si>
  <si>
    <t xml:space="preserve">Shape: </t>
  </si>
  <si>
    <t xml:space="preserve">Length: </t>
  </si>
  <si>
    <t xml:space="preserve">Top EL.: </t>
  </si>
  <si>
    <t xml:space="preserve">Select: </t>
  </si>
  <si>
    <t xml:space="preserve">Orifice: </t>
  </si>
  <si>
    <t xml:space="preserve">None: </t>
  </si>
  <si>
    <t xml:space="preserve">Crest EL.: </t>
  </si>
  <si>
    <t xml:space="preserve">Pond Top EL.: </t>
  </si>
  <si>
    <r>
      <t>WQ</t>
    </r>
    <r>
      <rPr>
        <vertAlign val="subscript"/>
        <sz val="15"/>
        <color theme="1"/>
        <rFont val="Calibri"/>
        <family val="2"/>
      </rPr>
      <t>v</t>
    </r>
    <r>
      <rPr>
        <sz val="10"/>
        <color theme="1"/>
        <rFont val="Calibri"/>
        <family val="2"/>
        <scheme val="minor"/>
      </rPr>
      <t xml:space="preserve"> Required: </t>
    </r>
  </si>
  <si>
    <r>
      <t>WQ</t>
    </r>
    <r>
      <rPr>
        <vertAlign val="subscript"/>
        <sz val="15"/>
        <color theme="1"/>
        <rFont val="Calibri"/>
        <family val="2"/>
      </rPr>
      <t>v</t>
    </r>
    <r>
      <rPr>
        <sz val="10"/>
        <color theme="1"/>
        <rFont val="Calibri"/>
        <family val="2"/>
        <scheme val="minor"/>
      </rPr>
      <t xml:space="preserve"> Provided: </t>
    </r>
  </si>
  <si>
    <t xml:space="preserve">Elevation: </t>
  </si>
  <si>
    <t xml:space="preserve">Seal: </t>
  </si>
  <si>
    <t xml:space="preserve">Outlet Pipe: </t>
  </si>
  <si>
    <t xml:space="preserve">WQv Orifice: </t>
  </si>
  <si>
    <t>Comments?</t>
  </si>
  <si>
    <t>EL:</t>
  </si>
  <si>
    <t>Pond Top EL:</t>
  </si>
  <si>
    <t>Crest EL:</t>
  </si>
  <si>
    <t>Pre Total not completed</t>
  </si>
  <si>
    <t>V-notch</t>
  </si>
  <si>
    <t>Permit Type:</t>
  </si>
  <si>
    <t>Max Velocity:</t>
  </si>
  <si>
    <t>Max Velocity</t>
  </si>
  <si>
    <t>Dia./Width/Deg</t>
  </si>
  <si>
    <t>Height</t>
  </si>
  <si>
    <t>Lookup Table</t>
  </si>
  <si>
    <t>Engineering or Building No.</t>
  </si>
  <si>
    <t>Post &lt; 0.5</t>
  </si>
  <si>
    <t xml:space="preserve">Weir: </t>
  </si>
  <si>
    <t>Rainfall depths were obtained from NOAA Atlas 14, Volume 9, Version 2.</t>
  </si>
  <si>
    <t xml:space="preserve">Will not adversely impact and/or cause flooding of structures within the development and downstream </t>
  </si>
  <si>
    <t>Use the drop down list to select an orifice or weir.</t>
  </si>
  <si>
    <t>Complete Design Form with the required design information.  Once the Design Form is completed, most of the Design section of the As-built Form will be prepopulated.</t>
  </si>
  <si>
    <t>Date</t>
  </si>
  <si>
    <t>No. Taken</t>
  </si>
  <si>
    <t>Page 4 of 4</t>
  </si>
  <si>
    <t>Page 3 of 4</t>
  </si>
  <si>
    <t>Page 2 of 4</t>
  </si>
  <si>
    <t>Page 1 of 4</t>
  </si>
  <si>
    <t xml:space="preserve">Contact Name: </t>
  </si>
  <si>
    <t>This is a required field.  Place an "X" in the appropriate box and the green highlight will be removed.  In some cases, the selection is optional.  Once an option is completed, additional fields may be highlighted green and in some fields the green highlight will be removed.</t>
  </si>
  <si>
    <t>Drainage basin maps shall show:</t>
  </si>
  <si>
    <t>Drainage basins included with the H&amp;H study</t>
  </si>
  <si>
    <t xml:space="preserve">Pathways used for calculating Time of Concentration (Tc) </t>
  </si>
  <si>
    <t>Adjacent properties and site features where stormwater will be discharged from the proposed development</t>
  </si>
  <si>
    <t>Provide a drainage basin map for proposed conditions</t>
  </si>
  <si>
    <t>Provide a drainage basin map for existing conditions</t>
  </si>
  <si>
    <t>Contours with adequate contour lables</t>
  </si>
  <si>
    <t>Structures, roads, storm sewer, utilities, drainage easements and other site features</t>
  </si>
  <si>
    <t>g.</t>
  </si>
  <si>
    <t>h.</t>
  </si>
  <si>
    <t>ENG No.</t>
  </si>
  <si>
    <t>Inspe Report Due:</t>
  </si>
  <si>
    <t>30 Septbember</t>
  </si>
  <si>
    <t>1 September</t>
  </si>
  <si>
    <t>management requirements have been met.</t>
  </si>
  <si>
    <t>emergency spillway, and outlet protection</t>
  </si>
  <si>
    <t>Detail of the outlet control structure showing elevations and dimensions of multi-stage riser, orifices, weirs,</t>
  </si>
  <si>
    <t>Outlet control structure showing multi-stage riser, orifices, weirs, outlet pipe, and WQ filter</t>
  </si>
  <si>
    <t>Detention pond outfall</t>
  </si>
  <si>
    <t>Emergency spillway</t>
  </si>
  <si>
    <t>Storm sewer pipes discharging into detention pond</t>
  </si>
  <si>
    <t>General overview</t>
  </si>
  <si>
    <t>Outfall to receiving stream / storm sewer</t>
  </si>
  <si>
    <t>If a detention pond encroaches on a floodplain, provide documentaiton showing that all floodplain</t>
  </si>
  <si>
    <t>A detentoin pond shall not be constructed within the floodway;</t>
  </si>
  <si>
    <t>properties located within, upstream, and/or downstream of the development;</t>
  </si>
  <si>
    <t>A stormwater pathway (i.e. piped storm sewer, overland flow, etc.) within the development shall</t>
  </si>
  <si>
    <t>be provided to convey the discharge resulting from a 100-year, 24-hour storm event in a manner that</t>
  </si>
  <si>
    <t>The principal spillway for a detention pond shall be sized to convey the 25-year, 24-hour storm event</t>
  </si>
  <si>
    <t>without allowing any discharge from the emergency spillway;</t>
  </si>
  <si>
    <t>a 100-year, 24-hour storm event.  A minimum freeboard of 1-foot above the maximum stage anticipated</t>
  </si>
  <si>
    <t>A detention pond shall provide for an emergency spillway designed to convey the discharge resulting from</t>
  </si>
  <si>
    <t>in the detention pond shall be provided to prevent overtopping;</t>
  </si>
  <si>
    <t>areas, time of concentration, curve number, pre-development peak discharges, post-development peak</t>
  </si>
  <si>
    <t>discharges, outlet structure geometry, emergency spillway geometry, pond stage-area storage summary,</t>
  </si>
  <si>
    <t>H&amp;H studies for a detention pond shall include model network, existing drainage areas, proposed drainage</t>
  </si>
  <si>
    <t xml:space="preserve">WQ Filter: </t>
  </si>
  <si>
    <t>Site features to include but not limited to roads, rights-of-way, property lines, driveways, buildings, parking</t>
  </si>
  <si>
    <t>areas, fences, retaining walls, dumpster pads, etc.</t>
  </si>
  <si>
    <t>Location of the detention pond, contours, contour labels, spot elevations, outlet control structure, outlet pipe,</t>
  </si>
  <si>
    <t>Arch</t>
  </si>
  <si>
    <t>Elliptical</t>
  </si>
  <si>
    <t>(50-yr)</t>
  </si>
  <si>
    <t>Storms:</t>
  </si>
  <si>
    <t>Insp Report Due:</t>
  </si>
  <si>
    <t>2, 5, 10, 25, 50, and 100</t>
  </si>
  <si>
    <r>
      <t>Total Post Q is &lt; -0.50 ft</t>
    </r>
    <r>
      <rPr>
        <vertAlign val="superscript"/>
        <sz val="10.8"/>
        <color theme="1"/>
        <rFont val="Calibri"/>
        <family val="2"/>
      </rPr>
      <t>3</t>
    </r>
    <r>
      <rPr>
        <sz val="11"/>
        <color theme="1"/>
        <rFont val="Calibri"/>
        <family val="2"/>
        <scheme val="minor"/>
      </rPr>
      <t>/s of Pre Q</t>
    </r>
  </si>
  <si>
    <t>Installation of a detention pond shall not adversely impact and/or cause flooding of</t>
  </si>
  <si>
    <t>2, 5, 10, and 25</t>
  </si>
  <si>
    <t>No. Storms</t>
  </si>
  <si>
    <t>Property boundaries</t>
  </si>
  <si>
    <t xml:space="preserve">Select Units: </t>
  </si>
  <si>
    <t xml:space="preserve"> ac</t>
  </si>
  <si>
    <t xml:space="preserve"> sq-ft</t>
  </si>
  <si>
    <t>%</t>
  </si>
  <si>
    <t>Imp. Area</t>
  </si>
  <si>
    <t>Page 1 of 2</t>
  </si>
  <si>
    <t>Page 2 of 2</t>
  </si>
  <si>
    <t>Slope</t>
  </si>
  <si>
    <t>Flooding</t>
  </si>
  <si>
    <t>Pond</t>
  </si>
  <si>
    <t xml:space="preserve"> Master Plan</t>
  </si>
  <si>
    <t xml:space="preserve">Select Development Type: </t>
  </si>
  <si>
    <t xml:space="preserve"> Residential</t>
  </si>
  <si>
    <t xml:space="preserve"> Commercial</t>
  </si>
  <si>
    <t xml:space="preserve">Attachments: </t>
  </si>
  <si>
    <t>Will all Phases or Lots be a member of the association?</t>
  </si>
  <si>
    <t>Is the detention pond located on a separate lot?</t>
  </si>
  <si>
    <t xml:space="preserve">Total: </t>
  </si>
  <si>
    <t xml:space="preserve"> Final Plat</t>
  </si>
  <si>
    <t xml:space="preserve">Number of Phases: </t>
  </si>
  <si>
    <t xml:space="preserve">Number of Lots: </t>
  </si>
  <si>
    <t xml:space="preserve">   Discharges to Pond?</t>
  </si>
  <si>
    <t>Form 2A.1 - Detention Pond
Design Form</t>
  </si>
  <si>
    <t>Form 2A.2 - Detention Pond
Design Attachment Form</t>
  </si>
  <si>
    <t>The Master Plan shall include the following information:</t>
  </si>
  <si>
    <t>Conceptual lot layout by use type (i.e. residential, commercial, open space, etc.)</t>
  </si>
  <si>
    <t>Proposed roads</t>
  </si>
  <si>
    <t>Location of detention pond</t>
  </si>
  <si>
    <r>
      <t>Peak Discharge (ft</t>
    </r>
    <r>
      <rPr>
        <vertAlign val="superscript"/>
        <sz val="8"/>
        <color theme="1"/>
        <rFont val="Calibri"/>
        <family val="2"/>
      </rPr>
      <t>3</t>
    </r>
    <r>
      <rPr>
        <sz val="10"/>
        <color theme="1"/>
        <rFont val="Calibri"/>
        <family val="2"/>
        <scheme val="minor"/>
      </rPr>
      <t>/s)</t>
    </r>
  </si>
  <si>
    <t xml:space="preserve">Hydrologic Soil Group: </t>
  </si>
  <si>
    <t xml:space="preserve"> A</t>
  </si>
  <si>
    <t xml:space="preserve"> B</t>
  </si>
  <si>
    <t xml:space="preserve"> C</t>
  </si>
  <si>
    <t xml:space="preserve"> D</t>
  </si>
  <si>
    <t xml:space="preserve">Mass Grading? </t>
  </si>
  <si>
    <t xml:space="preserve">Structural fill? </t>
  </si>
  <si>
    <t>Form 2A.2 - Detention Pond Design Form Attachment is attached?</t>
  </si>
  <si>
    <t>Design Questions</t>
  </si>
  <si>
    <t>Gas easement?</t>
  </si>
  <si>
    <t>Power easement?</t>
  </si>
  <si>
    <t>Sanitary sewer easement?</t>
  </si>
  <si>
    <t>Water easement?</t>
  </si>
  <si>
    <t>Telecommunications easement?</t>
  </si>
  <si>
    <t>ALDOT rights-of-way?</t>
  </si>
  <si>
    <t>Other?</t>
  </si>
  <si>
    <t>Streams and/or wetlands?</t>
  </si>
  <si>
    <t>Floodplain?</t>
  </si>
  <si>
    <t>Railroad rights-of-way?</t>
  </si>
  <si>
    <t xml:space="preserve">Supporting Documents Attached?  </t>
  </si>
  <si>
    <t>Does the detention pond discharge into an existing storm sewer (i.e. pipe, concrete swale, etc.)?</t>
  </si>
  <si>
    <t>Have post-construction CNs been adjusted to account for mass grading?</t>
  </si>
  <si>
    <t>Will future development phases discharge into the detention pond?  Complete Form 2A.2.</t>
  </si>
  <si>
    <t>Will the detention pond be maintained by an association?</t>
  </si>
  <si>
    <t>to accommodate the Phases and/or Lots included in this attachment.</t>
  </si>
  <si>
    <t>By affixing my professional seal and signature on this form, I hereby certify that the proposed detention pond was designed</t>
  </si>
  <si>
    <t>Known Flooding Req:</t>
  </si>
  <si>
    <t>No. Storms:</t>
  </si>
  <si>
    <t>Total</t>
  </si>
  <si>
    <t>Does the project drain to an area of known flooding?</t>
  </si>
  <si>
    <t xml:space="preserve">Does the project drain onto an adjacent property? </t>
  </si>
  <si>
    <t>Adj. Property</t>
  </si>
  <si>
    <t xml:space="preserve">Design Form Date: </t>
  </si>
  <si>
    <t>pond discharge summary, inflow and outflow hydrographs, and outlet  velocities.</t>
  </si>
  <si>
    <t>Property boundary</t>
  </si>
  <si>
    <t>Caption, date, and/or description on all photographs?</t>
  </si>
  <si>
    <t>31 December</t>
  </si>
  <si>
    <t>As-Built does not match Design, provide a reson in the Comments section</t>
  </si>
  <si>
    <t>Outlet control structure diagram is provided for information only.</t>
  </si>
  <si>
    <t>Caption identifying the date, location, and description of the photograph</t>
  </si>
  <si>
    <t>Photographs:</t>
  </si>
  <si>
    <t>All required photographs are not provided</t>
  </si>
  <si>
    <t>Will any components of the detention pond be constructed or impact any of the following?</t>
  </si>
  <si>
    <t>Outlet control structure &amp; WQv filter</t>
  </si>
  <si>
    <t>T-shape</t>
  </si>
  <si>
    <t>Discharge Summary</t>
  </si>
  <si>
    <t>Stage-Area-Storage Summary</t>
  </si>
  <si>
    <t>Proposed</t>
  </si>
  <si>
    <t>Existing</t>
  </si>
  <si>
    <t>2.</t>
  </si>
  <si>
    <t>If a phase or lot has already been constructed, enter the amount of impervious area in the Existing Imp. Area column.</t>
  </si>
  <si>
    <t>Property</t>
  </si>
  <si>
    <t>Known Flooding Storm:</t>
  </si>
  <si>
    <t>Adj Property Req:</t>
  </si>
  <si>
    <t>Adj Property Storm:</t>
  </si>
  <si>
    <t>Storm</t>
  </si>
  <si>
    <t>Req?</t>
  </si>
  <si>
    <t>Q Lookup</t>
  </si>
  <si>
    <t>Pre Q Lookup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</si>
</sst>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409]d\-mmm\-yy;@"/>
    <numFmt numFmtId="165" formatCode="0.000000"/>
    <numFmt numFmtId="166" formatCode="0."/>
    <numFmt numFmtId="167" formatCode="#,##0.000000"/>
    <numFmt numFmtId="168" formatCode="[$-409]d\ mmmm\ yyyy;@"/>
    <numFmt numFmtId="169" formatCode="[$-409]dd\ mmmm\ yyyy;@"/>
    <numFmt numFmtId="170" formatCode="[&lt;=9999999]###\-####;\(###\)\ ###\-####"/>
    <numFmt numFmtId="171" formatCode="00000"/>
    <numFmt numFmtId="172" formatCode="[$-409]dd\-mmm\-yy;@"/>
    <numFmt numFmtId="173" formatCode="\-0.000000"/>
    <numFmt numFmtId="174" formatCode="[$-409]mmmm\ d\,\ yyyy;@"/>
    <numFmt numFmtId="175" formatCode="\-#,##0.000000"/>
    <numFmt numFmtId="176" formatCode="#,##0.000"/>
  </numFmts>
  <fonts count="29" x14ac:knownFonts="1">
    <font>
      <sz val="11"/>
      <color theme="1"/>
      <name val="Calibri"/>
      <family val="2"/>
      <scheme val="minor"/>
    </font>
    <font>
      <b/>
      <u/>
      <sz val="12"/>
      <color theme="1"/>
      <name val="Calibri"/>
      <family val="2"/>
      <scheme val="minor"/>
    </font>
    <font>
      <b/>
      <sz val="18"/>
      <color theme="1"/>
      <name val="Calibri"/>
      <family val="2"/>
      <scheme val="minor"/>
    </font>
    <font>
      <sz val="10"/>
      <color theme="1"/>
      <name val="Calibri"/>
      <family val="2"/>
      <scheme val="minor"/>
    </font>
    <font>
      <vertAlign val="subscript"/>
      <sz val="10"/>
      <color theme="1"/>
      <name val="Calibri"/>
      <family val="2"/>
    </font>
    <font>
      <b/>
      <sz val="10"/>
      <color theme="1"/>
      <name val="Calibri"/>
      <family val="2"/>
      <scheme val="minor"/>
    </font>
    <font>
      <vertAlign val="superscript"/>
      <sz val="10"/>
      <color theme="1"/>
      <name val="Calibri"/>
      <family val="2"/>
    </font>
    <font>
      <vertAlign val="superscript"/>
      <sz val="8"/>
      <color theme="1"/>
      <name val="Calibri"/>
      <family val="2"/>
    </font>
    <font>
      <u/>
      <sz val="10"/>
      <color theme="1"/>
      <name val="Calibri"/>
      <family val="2"/>
      <scheme val="minor"/>
    </font>
    <font>
      <b/>
      <sz val="12"/>
      <color theme="1"/>
      <name val="Calibri"/>
      <family val="2"/>
      <scheme val="minor"/>
    </font>
    <font>
      <vertAlign val="subscript"/>
      <sz val="15"/>
      <color theme="1"/>
      <name val="Calibri"/>
      <family val="2"/>
    </font>
    <font>
      <u/>
      <sz val="11"/>
      <color theme="10"/>
      <name val="Calibri"/>
      <family val="2"/>
      <scheme val="minor"/>
    </font>
    <font>
      <b/>
      <u/>
      <sz val="10"/>
      <color theme="1"/>
      <name val="Calibri"/>
      <family val="2"/>
      <scheme val="minor"/>
    </font>
    <font>
      <vertAlign val="subscript"/>
      <sz val="11"/>
      <color theme="1"/>
      <name val="Calibri"/>
      <family val="2"/>
      <scheme val="minor"/>
    </font>
    <font>
      <b/>
      <u/>
      <sz val="16"/>
      <color theme="1"/>
      <name val="Calibri"/>
      <family val="2"/>
      <scheme val="minor"/>
    </font>
    <font>
      <sz val="12"/>
      <color theme="1"/>
      <name val="Calibri"/>
      <family val="2"/>
      <scheme val="minor"/>
    </font>
    <font>
      <u/>
      <sz val="12"/>
      <color theme="1"/>
      <name val="Calibri"/>
      <family val="2"/>
      <scheme val="minor"/>
    </font>
    <font>
      <sz val="11"/>
      <color theme="1"/>
      <name val="Calibri"/>
      <family val="2"/>
    </font>
    <font>
      <sz val="9"/>
      <color theme="1"/>
      <name val="Calibri"/>
      <family val="2"/>
      <scheme val="minor"/>
    </font>
    <font>
      <vertAlign val="superscript"/>
      <sz val="9"/>
      <color theme="1"/>
      <name val="Calibri"/>
      <family val="2"/>
    </font>
    <font>
      <vertAlign val="subscript"/>
      <sz val="10"/>
      <color theme="1"/>
      <name val="Calibri"/>
      <family val="2"/>
      <scheme val="minor"/>
    </font>
    <font>
      <sz val="14"/>
      <color theme="1"/>
      <name val="Calibri"/>
      <family val="2"/>
      <scheme val="minor"/>
    </font>
    <font>
      <sz val="10"/>
      <color theme="1"/>
      <name val="Calibri"/>
      <family val="2"/>
    </font>
    <font>
      <sz val="9"/>
      <color indexed="81"/>
      <name val="Tahoma"/>
      <family val="2"/>
    </font>
    <font>
      <b/>
      <sz val="9"/>
      <color indexed="81"/>
      <name val="Tahoma"/>
      <family val="2"/>
    </font>
    <font>
      <vertAlign val="superscript"/>
      <sz val="10.8"/>
      <color theme="1"/>
      <name val="Calibri"/>
      <family val="2"/>
    </font>
    <font>
      <b/>
      <sz val="11"/>
      <color theme="1"/>
      <name val="Calibri"/>
      <family val="2"/>
      <scheme val="minor"/>
    </font>
    <font>
      <u/>
      <sz val="10"/>
      <color theme="10"/>
      <name val="Calibri"/>
      <family val="2"/>
      <scheme val="minor"/>
    </font>
    <font>
      <sz val="11"/>
      <color theme="1"/>
      <name val="Calibri"/>
      <family val="2"/>
      <scheme val="minor"/>
    </font>
  </fonts>
  <fills count="8">
    <fill>
      <patternFill patternType="none"/>
    </fill>
    <fill>
      <patternFill patternType="gray125"/>
    </fill>
    <fill>
      <patternFill patternType="solid">
        <fgColor theme="7" tint="0.59996337778862885"/>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rgb="FFFFFFCC"/>
        <bgColor indexed="64"/>
      </patternFill>
    </fill>
  </fills>
  <borders count="1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indexed="64"/>
      </bottom>
      <diagonal/>
    </border>
  </borders>
  <cellStyleXfs count="3">
    <xf numFmtId="0" fontId="0" fillId="0" borderId="0"/>
    <xf numFmtId="0" fontId="11" fillId="0" borderId="0" applyNumberFormat="0" applyFill="0" applyBorder="0" applyAlignment="0" applyProtection="0"/>
    <xf numFmtId="9" fontId="28" fillId="0" borderId="0" applyFont="0" applyFill="0" applyBorder="0" applyAlignment="0" applyProtection="0"/>
  </cellStyleXfs>
  <cellXfs count="250">
    <xf numFmtId="0" fontId="0" fillId="0" borderId="0" xfId="0"/>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right" vertical="center" indent="1"/>
    </xf>
    <xf numFmtId="0" fontId="3"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1" fontId="3" fillId="0" borderId="0" xfId="0" applyNumberFormat="1" applyFont="1" applyAlignment="1">
      <alignment vertical="center"/>
    </xf>
    <xf numFmtId="4" fontId="3" fillId="0" borderId="0" xfId="0" applyNumberFormat="1" applyFont="1" applyAlignment="1">
      <alignment vertical="center"/>
    </xf>
    <xf numFmtId="0" fontId="9" fillId="0" borderId="0" xfId="0" applyFont="1" applyAlignment="1">
      <alignment vertical="center"/>
    </xf>
    <xf numFmtId="0" fontId="3" fillId="0" borderId="0" xfId="0" applyFont="1" applyAlignment="1">
      <alignment horizontal="right"/>
    </xf>
    <xf numFmtId="0" fontId="2" fillId="0" borderId="0" xfId="0" applyFont="1" applyAlignment="1">
      <alignment horizontal="right" vertical="center" wrapText="1"/>
    </xf>
    <xf numFmtId="3" fontId="3" fillId="0" borderId="0" xfId="0" applyNumberFormat="1" applyFont="1" applyAlignment="1">
      <alignment horizontal="right" vertical="center"/>
    </xf>
    <xf numFmtId="2" fontId="3" fillId="0" borderId="0" xfId="0" applyNumberFormat="1" applyFont="1" applyAlignment="1">
      <alignment vertical="center"/>
    </xf>
    <xf numFmtId="2" fontId="3" fillId="0" borderId="0" xfId="0" applyNumberFormat="1" applyFont="1" applyAlignment="1">
      <alignment horizontal="right" vertical="center"/>
    </xf>
    <xf numFmtId="3" fontId="3" fillId="0" borderId="3" xfId="0" applyNumberFormat="1" applyFont="1" applyBorder="1" applyAlignment="1">
      <alignment horizontal="right" vertical="center"/>
    </xf>
    <xf numFmtId="165" fontId="3" fillId="0" borderId="0" xfId="0" applyNumberFormat="1" applyFont="1" applyAlignment="1">
      <alignment vertical="center"/>
    </xf>
    <xf numFmtId="0" fontId="3" fillId="0" borderId="0" xfId="0" applyFont="1" applyAlignment="1">
      <alignment horizontal="center" vertical="center" wrapText="1"/>
    </xf>
    <xf numFmtId="4" fontId="3" fillId="0" borderId="0" xfId="0" applyNumberFormat="1" applyFont="1" applyAlignment="1" applyProtection="1">
      <alignment vertical="center"/>
      <protection hidden="1"/>
    </xf>
    <xf numFmtId="3" fontId="3" fillId="0" borderId="0" xfId="0" applyNumberFormat="1" applyFont="1" applyAlignment="1" applyProtection="1">
      <alignment vertical="center"/>
      <protection hidden="1"/>
    </xf>
    <xf numFmtId="0" fontId="3" fillId="0" borderId="0" xfId="0" applyFont="1" applyAlignment="1" applyProtection="1">
      <alignment vertical="center"/>
      <protection hidden="1"/>
    </xf>
    <xf numFmtId="164" fontId="3" fillId="0" borderId="0" xfId="0" applyNumberFormat="1" applyFont="1" applyAlignment="1" applyProtection="1">
      <alignment horizontal="center" vertical="center"/>
      <protection hidden="1"/>
    </xf>
    <xf numFmtId="0" fontId="3" fillId="0" borderId="0" xfId="0" applyFont="1"/>
    <xf numFmtId="0" fontId="2" fillId="0" borderId="0" xfId="0" applyFont="1" applyAlignment="1">
      <alignment vertical="center" wrapText="1"/>
    </xf>
    <xf numFmtId="0" fontId="3" fillId="3" borderId="5" xfId="0" applyFont="1" applyFill="1" applyBorder="1" applyAlignment="1">
      <alignment vertical="center"/>
    </xf>
    <xf numFmtId="0" fontId="1" fillId="3" borderId="3" xfId="0" applyFont="1" applyFill="1" applyBorder="1" applyAlignment="1">
      <alignment vertical="center"/>
    </xf>
    <xf numFmtId="0" fontId="3" fillId="3" borderId="3"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 xfId="0" applyFont="1" applyFill="1" applyBorder="1" applyAlignment="1">
      <alignment vertical="center"/>
    </xf>
    <xf numFmtId="0" fontId="3" fillId="3" borderId="10" xfId="0" applyFont="1" applyFill="1" applyBorder="1" applyAlignment="1">
      <alignment vertical="center"/>
    </xf>
    <xf numFmtId="0" fontId="5" fillId="4" borderId="5" xfId="0" applyFont="1" applyFill="1" applyBorder="1" applyAlignment="1">
      <alignment vertical="center"/>
    </xf>
    <xf numFmtId="0" fontId="3" fillId="4" borderId="3" xfId="0" applyFont="1" applyFill="1" applyBorder="1" applyAlignment="1">
      <alignment vertical="center"/>
    </xf>
    <xf numFmtId="0" fontId="3" fillId="4" borderId="6" xfId="0" applyFont="1" applyFill="1" applyBorder="1" applyAlignment="1">
      <alignment vertical="center"/>
    </xf>
    <xf numFmtId="0" fontId="3" fillId="4" borderId="7" xfId="0" applyFont="1" applyFill="1" applyBorder="1" applyAlignment="1">
      <alignment vertical="center"/>
    </xf>
    <xf numFmtId="0" fontId="3" fillId="4" borderId="0" xfId="0" applyFont="1" applyFill="1" applyAlignment="1">
      <alignment vertical="center"/>
    </xf>
    <xf numFmtId="0" fontId="3" fillId="4" borderId="8" xfId="0" applyFont="1" applyFill="1" applyBorder="1" applyAlignment="1">
      <alignment vertical="center"/>
    </xf>
    <xf numFmtId="0" fontId="3" fillId="4" borderId="0" xfId="0" applyFont="1" applyFill="1" applyAlignment="1">
      <alignment horizontal="right" vertical="center"/>
    </xf>
    <xf numFmtId="0" fontId="3" fillId="4" borderId="9"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lignment horizontal="right" vertical="center"/>
    </xf>
    <xf numFmtId="0" fontId="3" fillId="4" borderId="10" xfId="0" applyFont="1" applyFill="1" applyBorder="1" applyAlignment="1">
      <alignment vertical="center"/>
    </xf>
    <xf numFmtId="0" fontId="12" fillId="4" borderId="0" xfId="0" applyFont="1" applyFill="1" applyAlignment="1">
      <alignment horizontal="right" vertical="center"/>
    </xf>
    <xf numFmtId="0" fontId="12" fillId="4" borderId="0" xfId="0" applyFont="1" applyFill="1" applyAlignment="1">
      <alignment vertical="center"/>
    </xf>
    <xf numFmtId="0" fontId="0" fillId="0" borderId="0" xfId="0" applyAlignment="1">
      <alignment vertical="center"/>
    </xf>
    <xf numFmtId="166" fontId="0" fillId="0" borderId="0" xfId="0" applyNumberFormat="1" applyAlignment="1">
      <alignment horizontal="center" vertical="center"/>
    </xf>
    <xf numFmtId="0" fontId="0" fillId="0" borderId="0" xfId="0" applyAlignment="1">
      <alignment horizontal="left" vertical="center"/>
    </xf>
    <xf numFmtId="2" fontId="3" fillId="0" borderId="0" xfId="0" applyNumberFormat="1" applyFont="1" applyAlignment="1" applyProtection="1">
      <alignment horizontal="right" vertical="center"/>
      <protection hidden="1"/>
    </xf>
    <xf numFmtId="2" fontId="3" fillId="0" borderId="0" xfId="0" applyNumberFormat="1" applyFont="1" applyAlignment="1" applyProtection="1">
      <alignment vertical="center"/>
      <protection hidden="1"/>
    </xf>
    <xf numFmtId="0" fontId="3" fillId="0" borderId="0" xfId="0" applyFont="1" applyAlignment="1">
      <alignment horizontal="left" vertical="center"/>
    </xf>
    <xf numFmtId="0" fontId="3" fillId="3" borderId="0" xfId="0" applyFont="1" applyFill="1" applyAlignment="1">
      <alignment horizontal="left" vertical="center"/>
    </xf>
    <xf numFmtId="0" fontId="3" fillId="3" borderId="12" xfId="0" applyFont="1" applyFill="1" applyBorder="1" applyAlignment="1">
      <alignment horizontal="center" vertical="center"/>
    </xf>
    <xf numFmtId="0" fontId="3" fillId="6" borderId="0" xfId="0" applyFont="1" applyFill="1" applyAlignment="1">
      <alignment vertical="center"/>
    </xf>
    <xf numFmtId="0" fontId="1" fillId="6" borderId="0" xfId="0" applyFont="1" applyFill="1" applyAlignment="1">
      <alignment vertical="center"/>
    </xf>
    <xf numFmtId="0" fontId="2" fillId="6" borderId="0" xfId="0" applyFont="1" applyFill="1" applyAlignment="1">
      <alignment vertical="center" wrapText="1"/>
    </xf>
    <xf numFmtId="0" fontId="3" fillId="6" borderId="0" xfId="0" applyFont="1" applyFill="1" applyAlignment="1">
      <alignment horizontal="right" vertical="center"/>
    </xf>
    <xf numFmtId="0" fontId="3" fillId="6" borderId="0" xfId="0" applyFont="1" applyFill="1"/>
    <xf numFmtId="0" fontId="3" fillId="0" borderId="12" xfId="0" applyFont="1" applyBorder="1" applyAlignment="1" applyProtection="1">
      <alignment horizontal="center" vertical="center"/>
      <protection locked="0"/>
    </xf>
    <xf numFmtId="166" fontId="3" fillId="0" borderId="0" xfId="0" applyNumberFormat="1" applyFont="1" applyAlignment="1">
      <alignment horizontal="center" vertical="center"/>
    </xf>
    <xf numFmtId="0" fontId="3" fillId="0" borderId="12" xfId="0" applyFont="1" applyBorder="1" applyAlignment="1">
      <alignment horizontal="center" vertical="center"/>
    </xf>
    <xf numFmtId="0" fontId="11" fillId="0" borderId="0" xfId="1" applyBorder="1" applyAlignment="1" applyProtection="1">
      <alignment horizontal="left" vertical="center"/>
    </xf>
    <xf numFmtId="0" fontId="3" fillId="0" borderId="0" xfId="0" applyFont="1" applyAlignment="1">
      <alignment vertical="top" wrapText="1"/>
    </xf>
    <xf numFmtId="0" fontId="0" fillId="0" borderId="0" xfId="0" applyAlignment="1">
      <alignment horizontal="right" vertical="center"/>
    </xf>
    <xf numFmtId="0" fontId="0" fillId="0" borderId="0" xfId="0" applyAlignment="1">
      <alignment horizontal="center"/>
    </xf>
    <xf numFmtId="2" fontId="0" fillId="0" borderId="0" xfId="0" applyNumberFormat="1"/>
    <xf numFmtId="0" fontId="0" fillId="0" borderId="0" xfId="0" applyAlignment="1">
      <alignment horizontal="right"/>
    </xf>
    <xf numFmtId="0" fontId="0" fillId="7" borderId="13" xfId="0" applyFill="1" applyBorder="1"/>
    <xf numFmtId="0" fontId="14" fillId="0" borderId="0" xfId="0" applyFont="1" applyAlignment="1">
      <alignment vertical="center"/>
    </xf>
    <xf numFmtId="0" fontId="17" fillId="0" borderId="0" xfId="0" applyFont="1" applyAlignment="1">
      <alignment horizontal="center" vertical="center"/>
    </xf>
    <xf numFmtId="0" fontId="3" fillId="0" borderId="3" xfId="0" applyFont="1" applyBorder="1" applyAlignment="1">
      <alignment vertical="center"/>
    </xf>
    <xf numFmtId="0" fontId="15" fillId="0" borderId="12" xfId="0" applyFont="1" applyBorder="1" applyAlignment="1" applyProtection="1">
      <alignment horizontal="center" vertical="center"/>
      <protection locked="0"/>
    </xf>
    <xf numFmtId="0" fontId="11" fillId="0" borderId="0" xfId="1" applyBorder="1" applyAlignment="1" applyProtection="1">
      <alignment vertical="center"/>
    </xf>
    <xf numFmtId="166" fontId="15" fillId="0" borderId="0" xfId="0" applyNumberFormat="1" applyFont="1" applyAlignment="1">
      <alignment horizontal="center" vertical="center"/>
    </xf>
    <xf numFmtId="0" fontId="15" fillId="0" borderId="0" xfId="0" applyFont="1" applyAlignment="1">
      <alignment vertical="center"/>
    </xf>
    <xf numFmtId="166" fontId="14" fillId="0" borderId="0" xfId="0" applyNumberFormat="1" applyFont="1" applyAlignment="1">
      <alignment vertical="center"/>
    </xf>
    <xf numFmtId="0" fontId="15" fillId="0" borderId="1" xfId="0" applyFont="1" applyBorder="1" applyAlignment="1">
      <alignment horizontal="center" vertical="center"/>
    </xf>
    <xf numFmtId="4" fontId="15" fillId="0" borderId="1" xfId="0" applyNumberFormat="1" applyFont="1" applyBorder="1" applyAlignment="1">
      <alignment vertical="center"/>
    </xf>
    <xf numFmtId="0" fontId="15" fillId="0" borderId="0" xfId="0" applyFont="1" applyAlignment="1">
      <alignment horizontal="left" vertical="center" wrapText="1"/>
    </xf>
    <xf numFmtId="0" fontId="15" fillId="0" borderId="0" xfId="0" applyFont="1" applyAlignment="1">
      <alignment vertical="center" wrapText="1"/>
    </xf>
    <xf numFmtId="0" fontId="16" fillId="2" borderId="1" xfId="0" applyFont="1" applyFill="1" applyBorder="1" applyAlignment="1">
      <alignment vertical="center"/>
    </xf>
    <xf numFmtId="0" fontId="15" fillId="5" borderId="1" xfId="0" applyFont="1" applyFill="1" applyBorder="1" applyAlignment="1">
      <alignment vertical="center"/>
    </xf>
    <xf numFmtId="0" fontId="9" fillId="0" borderId="0" xfId="0" applyFont="1" applyAlignment="1">
      <alignment horizontal="left" vertical="center"/>
    </xf>
    <xf numFmtId="0" fontId="21" fillId="3" borderId="12" xfId="0" applyFont="1" applyFill="1" applyBorder="1" applyAlignment="1">
      <alignment horizontal="center" vertical="center"/>
    </xf>
    <xf numFmtId="0" fontId="3" fillId="0" borderId="1" xfId="0" applyFont="1" applyBorder="1" applyAlignment="1">
      <alignment vertical="center"/>
    </xf>
    <xf numFmtId="169" fontId="0" fillId="0" borderId="0" xfId="0" quotePrefix="1" applyNumberFormat="1"/>
    <xf numFmtId="169" fontId="0" fillId="0" borderId="0" xfId="0" applyNumberFormat="1"/>
    <xf numFmtId="0" fontId="3" fillId="0" borderId="0" xfId="0" applyFont="1" applyAlignment="1">
      <alignment vertical="top"/>
    </xf>
    <xf numFmtId="0" fontId="17" fillId="0" borderId="0" xfId="0" applyFont="1" applyAlignment="1">
      <alignment horizontal="right" vertical="center" indent="1"/>
    </xf>
    <xf numFmtId="0" fontId="3" fillId="0" borderId="0" xfId="0" applyFont="1" applyAlignment="1">
      <alignment vertical="center" wrapText="1"/>
    </xf>
    <xf numFmtId="168" fontId="0" fillId="7" borderId="13" xfId="0" applyNumberFormat="1" applyFill="1" applyBorder="1"/>
    <xf numFmtId="0" fontId="22" fillId="0" borderId="0" xfId="0" applyFont="1" applyAlignment="1">
      <alignment horizontal="center" vertical="center"/>
    </xf>
    <xf numFmtId="0" fontId="0" fillId="0" borderId="0" xfId="0" quotePrefix="1"/>
    <xf numFmtId="168" fontId="18" fillId="0" borderId="0" xfId="0" applyNumberFormat="1" applyFont="1" applyAlignment="1">
      <alignment horizontal="left" vertical="center"/>
    </xf>
    <xf numFmtId="0" fontId="8" fillId="3" borderId="1" xfId="0" applyFont="1" applyFill="1" applyBorder="1" applyAlignment="1">
      <alignment vertical="center"/>
    </xf>
    <xf numFmtId="0" fontId="5" fillId="4" borderId="3" xfId="0" applyFont="1" applyFill="1" applyBorder="1" applyAlignment="1">
      <alignment vertical="center"/>
    </xf>
    <xf numFmtId="165" fontId="3" fillId="0" borderId="0" xfId="0" applyNumberFormat="1" applyFont="1" applyAlignment="1" applyProtection="1">
      <alignment vertical="center"/>
      <protection hidden="1"/>
    </xf>
    <xf numFmtId="2" fontId="3" fillId="0" borderId="11" xfId="0" applyNumberFormat="1" applyFont="1" applyBorder="1" applyAlignment="1" applyProtection="1">
      <alignment vertical="center"/>
      <protection hidden="1"/>
    </xf>
    <xf numFmtId="0" fontId="3" fillId="6" borderId="0" xfId="0" applyFont="1" applyFill="1" applyAlignment="1">
      <alignment horizontal="center" vertical="center"/>
    </xf>
    <xf numFmtId="0" fontId="3" fillId="3" borderId="12" xfId="0" applyFont="1" applyFill="1" applyBorder="1" applyAlignment="1">
      <alignment vertical="center"/>
    </xf>
    <xf numFmtId="0" fontId="9" fillId="6" borderId="0" xfId="0" applyFont="1" applyFill="1" applyAlignment="1">
      <alignment horizontal="left" vertical="center"/>
    </xf>
    <xf numFmtId="0" fontId="1" fillId="0" borderId="11" xfId="0" applyFont="1" applyBorder="1" applyAlignment="1">
      <alignment vertical="center"/>
    </xf>
    <xf numFmtId="0" fontId="3" fillId="0" borderId="11" xfId="0" applyFont="1" applyBorder="1" applyAlignment="1">
      <alignment vertical="center"/>
    </xf>
    <xf numFmtId="0" fontId="0" fillId="0" borderId="0" xfId="0" applyAlignment="1">
      <alignment wrapText="1"/>
    </xf>
    <xf numFmtId="0" fontId="0" fillId="0" borderId="0" xfId="0" applyAlignment="1">
      <alignment horizontal="left"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6" borderId="0" xfId="0" applyFont="1" applyFill="1" applyAlignment="1">
      <alignment horizontal="left" vertical="center"/>
    </xf>
    <xf numFmtId="0" fontId="3" fillId="0" borderId="11" xfId="0" applyFont="1" applyBorder="1" applyAlignment="1">
      <alignment horizontal="right" vertical="center"/>
    </xf>
    <xf numFmtId="0" fontId="5" fillId="0" borderId="0" xfId="0" applyFont="1" applyAlignment="1">
      <alignment vertical="center"/>
    </xf>
    <xf numFmtId="0" fontId="9" fillId="6" borderId="0" xfId="0" applyFont="1" applyFill="1" applyAlignment="1">
      <alignment vertical="center"/>
    </xf>
    <xf numFmtId="0" fontId="12" fillId="0" borderId="0" xfId="0" applyFont="1" applyAlignment="1">
      <alignment vertical="center"/>
    </xf>
    <xf numFmtId="3" fontId="3" fillId="0" borderId="0" xfId="0" applyNumberFormat="1" applyFont="1" applyAlignment="1">
      <alignment vertical="center"/>
    </xf>
    <xf numFmtId="166" fontId="9" fillId="0" borderId="0" xfId="0" applyNumberFormat="1" applyFont="1" applyAlignment="1">
      <alignment horizontal="center" vertical="center"/>
    </xf>
    <xf numFmtId="0" fontId="18" fillId="0" borderId="0" xfId="0" applyFont="1" applyAlignment="1">
      <alignment horizontal="center" vertical="center" wrapText="1"/>
    </xf>
    <xf numFmtId="0" fontId="3" fillId="6" borderId="12" xfId="0" applyFont="1" applyFill="1" applyBorder="1" applyAlignment="1">
      <alignment vertical="center"/>
    </xf>
    <xf numFmtId="0" fontId="3" fillId="6" borderId="12" xfId="0" applyFont="1" applyFill="1" applyBorder="1" applyAlignment="1">
      <alignment horizontal="center" vertical="center"/>
    </xf>
    <xf numFmtId="0" fontId="1" fillId="0" borderId="0" xfId="0" applyFont="1" applyAlignment="1">
      <alignment horizontal="left" vertical="center"/>
    </xf>
    <xf numFmtId="2" fontId="3" fillId="6" borderId="12" xfId="0" applyNumberFormat="1" applyFont="1" applyFill="1" applyBorder="1" applyAlignment="1">
      <alignment horizontal="center" vertical="center"/>
    </xf>
    <xf numFmtId="0" fontId="26" fillId="0" borderId="0" xfId="0" applyFont="1"/>
    <xf numFmtId="0" fontId="26" fillId="0" borderId="0" xfId="0" applyFont="1" applyAlignment="1">
      <alignment horizontal="center"/>
    </xf>
    <xf numFmtId="4" fontId="3" fillId="6" borderId="0" xfId="0" applyNumberFormat="1" applyFont="1" applyFill="1" applyAlignment="1">
      <alignment vertical="center"/>
    </xf>
    <xf numFmtId="3" fontId="3" fillId="6" borderId="12" xfId="0" applyNumberFormat="1" applyFont="1" applyFill="1" applyBorder="1" applyAlignment="1">
      <alignment horizontal="center" vertical="center"/>
    </xf>
    <xf numFmtId="1" fontId="3" fillId="6" borderId="12" xfId="0" applyNumberFormat="1" applyFont="1" applyFill="1" applyBorder="1" applyAlignment="1">
      <alignment horizontal="center" vertical="center"/>
    </xf>
    <xf numFmtId="0" fontId="5" fillId="4" borderId="0" xfId="0" applyFont="1" applyFill="1" applyAlignment="1">
      <alignment horizontal="right" vertical="center"/>
    </xf>
    <xf numFmtId="0" fontId="3" fillId="6" borderId="14" xfId="0" applyFont="1" applyFill="1" applyBorder="1" applyAlignment="1">
      <alignment horizontal="center" vertical="center"/>
    </xf>
    <xf numFmtId="0" fontId="3" fillId="0" borderId="3" xfId="0" applyFont="1" applyBorder="1" applyAlignment="1">
      <alignment horizontal="right" vertical="center"/>
    </xf>
    <xf numFmtId="171" fontId="3" fillId="0" borderId="0" xfId="0" applyNumberFormat="1" applyFont="1" applyAlignment="1">
      <alignment horizontal="center" vertical="center"/>
    </xf>
    <xf numFmtId="168" fontId="0" fillId="0" borderId="0" xfId="0" applyNumberFormat="1"/>
    <xf numFmtId="168" fontId="0" fillId="0" borderId="0" xfId="0" quotePrefix="1" applyNumberFormat="1"/>
    <xf numFmtId="0" fontId="15" fillId="0" borderId="12" xfId="0" applyFont="1" applyBorder="1" applyAlignment="1">
      <alignment horizontal="center" vertical="center"/>
    </xf>
    <xf numFmtId="1" fontId="0" fillId="0" borderId="0" xfId="0" applyNumberFormat="1" applyAlignment="1">
      <alignment horizontal="center"/>
    </xf>
    <xf numFmtId="1" fontId="3" fillId="6" borderId="0" xfId="0" applyNumberFormat="1" applyFont="1" applyFill="1" applyAlignment="1">
      <alignment horizontal="center" vertical="center"/>
    </xf>
    <xf numFmtId="2" fontId="3" fillId="6" borderId="0" xfId="0" applyNumberFormat="1" applyFont="1" applyFill="1" applyAlignment="1">
      <alignment horizontal="center" vertical="center"/>
    </xf>
    <xf numFmtId="0" fontId="0" fillId="0" borderId="0" xfId="0" applyAlignment="1">
      <alignment vertical="center" wrapText="1"/>
    </xf>
    <xf numFmtId="0" fontId="0" fillId="0" borderId="0" xfId="0" applyAlignment="1">
      <alignment vertical="top" wrapText="1"/>
    </xf>
    <xf numFmtId="166" fontId="3" fillId="0" borderId="0" xfId="0" applyNumberFormat="1" applyFont="1" applyAlignment="1">
      <alignment vertical="center"/>
    </xf>
    <xf numFmtId="166" fontId="0" fillId="0" borderId="0" xfId="0" applyNumberFormat="1" applyAlignment="1">
      <alignment vertical="center"/>
    </xf>
    <xf numFmtId="0" fontId="21" fillId="0" borderId="0" xfId="0" applyFont="1" applyAlignment="1">
      <alignment horizontal="center" vertical="center"/>
    </xf>
    <xf numFmtId="166" fontId="3" fillId="0" borderId="0" xfId="0" applyNumberFormat="1" applyFont="1" applyAlignment="1">
      <alignment horizontal="left" vertical="center"/>
    </xf>
    <xf numFmtId="0" fontId="3" fillId="0" borderId="8" xfId="0" applyFont="1" applyBorder="1" applyAlignment="1">
      <alignment vertical="center"/>
    </xf>
    <xf numFmtId="176" fontId="3" fillId="0" borderId="0" xfId="0" applyNumberFormat="1" applyFont="1" applyAlignment="1">
      <alignment horizontal="right" vertical="center"/>
    </xf>
    <xf numFmtId="0" fontId="15" fillId="0" borderId="0" xfId="0" applyFont="1" applyAlignment="1">
      <alignment horizontal="center" vertical="center"/>
    </xf>
    <xf numFmtId="0" fontId="3" fillId="6" borderId="2" xfId="0" applyFont="1" applyFill="1" applyBorder="1" applyAlignment="1">
      <alignment horizontal="center" vertical="center"/>
    </xf>
    <xf numFmtId="0" fontId="3" fillId="6" borderId="15" xfId="0" applyFont="1" applyFill="1" applyBorder="1" applyAlignment="1">
      <alignment horizontal="center" vertical="center"/>
    </xf>
    <xf numFmtId="166" fontId="3" fillId="0" borderId="0" xfId="0" applyNumberFormat="1" applyFont="1" applyAlignment="1">
      <alignment horizontal="center" vertical="top"/>
    </xf>
    <xf numFmtId="0" fontId="5" fillId="4" borderId="1" xfId="0" applyFont="1" applyFill="1" applyBorder="1" applyAlignment="1">
      <alignment horizontal="right" vertical="center"/>
    </xf>
    <xf numFmtId="0" fontId="3" fillId="4" borderId="1" xfId="0" applyFont="1" applyFill="1" applyBorder="1" applyAlignment="1">
      <alignment horizontal="left" vertical="center"/>
    </xf>
    <xf numFmtId="166" fontId="3" fillId="0" borderId="0" xfId="0" quotePrefix="1" applyNumberFormat="1" applyFont="1" applyAlignment="1">
      <alignment horizontal="center" vertical="center"/>
    </xf>
    <xf numFmtId="2" fontId="0" fillId="0" borderId="0" xfId="0" applyNumberFormat="1" applyAlignment="1">
      <alignment horizontal="center"/>
    </xf>
    <xf numFmtId="2" fontId="0" fillId="0" borderId="0" xfId="0" applyNumberFormat="1" applyAlignment="1">
      <alignment horizontal="center" vertical="center"/>
    </xf>
    <xf numFmtId="1" fontId="0" fillId="0" borderId="0" xfId="0" applyNumberFormat="1"/>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7" xfId="0" applyFont="1" applyFill="1" applyBorder="1" applyAlignment="1">
      <alignment vertical="center"/>
    </xf>
    <xf numFmtId="4" fontId="3" fillId="6" borderId="8" xfId="0" applyNumberFormat="1" applyFont="1" applyFill="1" applyBorder="1" applyAlignment="1">
      <alignment vertical="center"/>
    </xf>
    <xf numFmtId="0" fontId="3" fillId="6" borderId="9" xfId="0" applyFont="1" applyFill="1" applyBorder="1" applyAlignment="1">
      <alignment vertical="center"/>
    </xf>
    <xf numFmtId="4" fontId="3" fillId="6" borderId="10" xfId="0" applyNumberFormat="1" applyFont="1" applyFill="1" applyBorder="1" applyAlignment="1">
      <alignment vertical="center"/>
    </xf>
    <xf numFmtId="0" fontId="3" fillId="6" borderId="1" xfId="0" applyFont="1" applyFill="1" applyBorder="1" applyAlignment="1">
      <alignment vertical="center"/>
    </xf>
    <xf numFmtId="0" fontId="3" fillId="6" borderId="2" xfId="0" applyFont="1" applyFill="1" applyBorder="1" applyAlignment="1">
      <alignment vertical="center"/>
    </xf>
    <xf numFmtId="0" fontId="3" fillId="6" borderId="1" xfId="0" applyFont="1" applyFill="1" applyBorder="1" applyAlignment="1">
      <alignment horizontal="center" vertical="center"/>
    </xf>
    <xf numFmtId="0" fontId="5" fillId="3" borderId="3" xfId="0" applyFont="1" applyFill="1" applyBorder="1" applyAlignment="1">
      <alignment horizontal="right" vertical="center"/>
    </xf>
    <xf numFmtId="0" fontId="15" fillId="0" borderId="0" xfId="0" applyFont="1" applyAlignment="1">
      <alignment horizontal="left" vertical="center" wrapText="1"/>
    </xf>
    <xf numFmtId="0" fontId="15" fillId="0" borderId="0" xfId="0" applyFont="1" applyAlignment="1">
      <alignment horizontal="left" vertical="top" wrapText="1"/>
    </xf>
    <xf numFmtId="168" fontId="18" fillId="0" borderId="0" xfId="0" applyNumberFormat="1" applyFont="1" applyAlignment="1">
      <alignment horizontal="left" vertical="center"/>
    </xf>
    <xf numFmtId="0" fontId="3" fillId="0" borderId="2" xfId="0" applyFont="1" applyBorder="1" applyAlignment="1" applyProtection="1">
      <alignment horizontal="center" vertical="center"/>
      <protection hidden="1"/>
    </xf>
    <xf numFmtId="4" fontId="3" fillId="0" borderId="2" xfId="0" applyNumberFormat="1" applyFont="1" applyBorder="1" applyAlignment="1" applyProtection="1">
      <alignment horizontal="right" vertical="center"/>
      <protection locked="0"/>
    </xf>
    <xf numFmtId="2" fontId="3" fillId="0" borderId="0" xfId="0" applyNumberFormat="1" applyFont="1" applyAlignment="1">
      <alignment horizontal="right" vertical="center"/>
    </xf>
    <xf numFmtId="0" fontId="3" fillId="0" borderId="1" xfId="0" applyFont="1" applyBorder="1" applyAlignment="1" applyProtection="1">
      <alignment horizontal="left" vertical="center"/>
      <protection hidden="1"/>
    </xf>
    <xf numFmtId="164" fontId="3" fillId="0" borderId="1" xfId="0" applyNumberFormat="1" applyFont="1" applyBorder="1" applyAlignment="1" applyProtection="1">
      <alignment horizontal="center" vertical="center"/>
      <protection hidden="1"/>
    </xf>
    <xf numFmtId="0" fontId="3" fillId="0" borderId="5"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170" fontId="3" fillId="0" borderId="2" xfId="0" applyNumberFormat="1"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27" fillId="0" borderId="1" xfId="1" applyFont="1" applyBorder="1" applyAlignment="1" applyProtection="1">
      <alignment horizontal="left" vertical="center"/>
      <protection locked="0"/>
    </xf>
    <xf numFmtId="0" fontId="3" fillId="6" borderId="16" xfId="0" applyFont="1" applyFill="1" applyBorder="1" applyAlignment="1">
      <alignment horizontal="center" vertical="center"/>
    </xf>
    <xf numFmtId="0" fontId="3" fillId="6" borderId="14" xfId="0" applyFont="1" applyFill="1" applyBorder="1" applyAlignment="1">
      <alignment horizontal="center" vertical="center"/>
    </xf>
    <xf numFmtId="0" fontId="3" fillId="0" borderId="0" xfId="0" applyFont="1" applyAlignment="1">
      <alignment horizontal="center" vertical="center"/>
    </xf>
    <xf numFmtId="164" fontId="3" fillId="0" borderId="1" xfId="0" applyNumberFormat="1" applyFont="1" applyBorder="1" applyAlignment="1" applyProtection="1">
      <alignment horizontal="center" vertical="center"/>
      <protection locked="0"/>
    </xf>
    <xf numFmtId="4" fontId="3" fillId="0" borderId="1" xfId="0" applyNumberFormat="1" applyFont="1" applyBorder="1" applyAlignment="1" applyProtection="1">
      <alignment horizontal="right" vertical="center"/>
      <protection locked="0"/>
    </xf>
    <xf numFmtId="2" fontId="3" fillId="0" borderId="1" xfId="0" applyNumberFormat="1" applyFont="1" applyBorder="1" applyAlignment="1" applyProtection="1">
      <alignment horizontal="right" vertical="center"/>
      <protection locked="0"/>
    </xf>
    <xf numFmtId="0" fontId="3" fillId="0" borderId="0" xfId="0" applyFont="1" applyAlignment="1">
      <alignment horizontal="center" vertical="center" wrapText="1"/>
    </xf>
    <xf numFmtId="3" fontId="3" fillId="0" borderId="2" xfId="0" applyNumberFormat="1" applyFont="1" applyBorder="1" applyAlignment="1" applyProtection="1">
      <alignment horizontal="right" vertical="center"/>
      <protection locked="0"/>
    </xf>
    <xf numFmtId="3" fontId="3" fillId="0" borderId="2" xfId="0" applyNumberFormat="1" applyFont="1" applyBorder="1" applyAlignment="1" applyProtection="1">
      <alignment horizontal="right" vertical="center"/>
      <protection hidden="1"/>
    </xf>
    <xf numFmtId="2" fontId="3" fillId="0" borderId="2" xfId="0" applyNumberFormat="1" applyFont="1" applyBorder="1" applyAlignment="1" applyProtection="1">
      <alignment horizontal="right" vertical="center"/>
      <protection locked="0"/>
    </xf>
    <xf numFmtId="3" fontId="3" fillId="0" borderId="1" xfId="0" applyNumberFormat="1"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165" fontId="3" fillId="0" borderId="1" xfId="0" applyNumberFormat="1" applyFont="1" applyBorder="1" applyAlignment="1" applyProtection="1">
      <alignment horizontal="right" vertical="center"/>
      <protection locked="0"/>
    </xf>
    <xf numFmtId="173" fontId="3" fillId="0" borderId="1" xfId="0" applyNumberFormat="1" applyFont="1" applyBorder="1" applyAlignment="1" applyProtection="1">
      <alignment horizontal="right" vertical="center"/>
      <protection locked="0"/>
    </xf>
    <xf numFmtId="0" fontId="2" fillId="0" borderId="0" xfId="0" applyFont="1" applyAlignment="1">
      <alignment horizontal="right" vertical="center" wrapText="1"/>
    </xf>
    <xf numFmtId="172" fontId="3" fillId="0" borderId="1" xfId="0" applyNumberFormat="1" applyFont="1" applyBorder="1" applyAlignment="1" applyProtection="1">
      <alignment horizontal="center" vertical="center"/>
      <protection locked="0"/>
    </xf>
    <xf numFmtId="1" fontId="3" fillId="0" borderId="2" xfId="0" applyNumberFormat="1"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14" fillId="0" borderId="0" xfId="0" applyFont="1" applyAlignment="1">
      <alignment horizontal="left" vertical="center"/>
    </xf>
    <xf numFmtId="0" fontId="3" fillId="3" borderId="1" xfId="0" applyFont="1" applyFill="1" applyBorder="1" applyAlignment="1">
      <alignment vertical="center"/>
    </xf>
    <xf numFmtId="0" fontId="1" fillId="0" borderId="0" xfId="0" applyFont="1" applyAlignment="1">
      <alignment horizontal="left" vertical="center"/>
    </xf>
    <xf numFmtId="4" fontId="3" fillId="0" borderId="4" xfId="0" applyNumberFormat="1" applyFont="1" applyBorder="1" applyAlignment="1" applyProtection="1">
      <alignment horizontal="right" vertical="center"/>
      <protection locked="0"/>
    </xf>
    <xf numFmtId="4" fontId="3" fillId="0" borderId="1" xfId="0" applyNumberFormat="1" applyFont="1" applyBorder="1" applyAlignment="1" applyProtection="1">
      <alignment horizontal="right" vertical="center"/>
      <protection hidden="1"/>
    </xf>
    <xf numFmtId="0" fontId="3" fillId="0" borderId="0" xfId="0" applyFont="1" applyAlignment="1">
      <alignment horizontal="center" vertical="center" textRotation="90" wrapText="1"/>
    </xf>
    <xf numFmtId="0" fontId="3" fillId="0" borderId="0" xfId="0" applyFont="1" applyAlignment="1">
      <alignment horizontal="left" vertical="center"/>
    </xf>
    <xf numFmtId="176" fontId="3" fillId="0" borderId="1" xfId="0" applyNumberFormat="1" applyFont="1" applyBorder="1" applyAlignment="1" applyProtection="1">
      <alignment horizontal="right" vertical="center"/>
      <protection locked="0"/>
    </xf>
    <xf numFmtId="3" fontId="3" fillId="0" borderId="1" xfId="0" applyNumberFormat="1" applyFont="1" applyBorder="1" applyAlignment="1" applyProtection="1">
      <alignment horizontal="center" vertical="center"/>
      <protection locked="0"/>
    </xf>
    <xf numFmtId="2" fontId="3" fillId="0" borderId="1" xfId="2" applyNumberFormat="1" applyFont="1" applyBorder="1" applyAlignment="1" applyProtection="1">
      <alignment horizontal="right" vertical="center"/>
    </xf>
    <xf numFmtId="9" fontId="3" fillId="0" borderId="2" xfId="2" applyFont="1" applyBorder="1" applyAlignment="1">
      <alignment horizontal="right" vertical="center"/>
    </xf>
    <xf numFmtId="4" fontId="3" fillId="0" borderId="1" xfId="0" applyNumberFormat="1" applyFont="1" applyBorder="1" applyAlignment="1">
      <alignment horizontal="right" vertical="center"/>
    </xf>
    <xf numFmtId="0" fontId="27" fillId="0" borderId="2" xfId="1" applyFont="1" applyBorder="1" applyAlignment="1" applyProtection="1">
      <alignment horizontal="left" vertical="center"/>
      <protection locked="0"/>
    </xf>
    <xf numFmtId="170" fontId="3" fillId="0" borderId="1" xfId="0" applyNumberFormat="1" applyFont="1" applyBorder="1" applyAlignment="1" applyProtection="1">
      <alignment horizontal="center" vertical="center"/>
      <protection locked="0"/>
    </xf>
    <xf numFmtId="175" fontId="3" fillId="0" borderId="2" xfId="0" applyNumberFormat="1" applyFont="1" applyBorder="1" applyAlignment="1" applyProtection="1">
      <alignment vertical="center"/>
      <protection locked="0"/>
    </xf>
    <xf numFmtId="0" fontId="3" fillId="3" borderId="1" xfId="0" applyFont="1" applyFill="1" applyBorder="1" applyAlignment="1">
      <alignment horizontal="left" vertical="center"/>
    </xf>
    <xf numFmtId="14" fontId="3" fillId="3" borderId="1" xfId="0" applyNumberFormat="1" applyFont="1" applyFill="1" applyBorder="1" applyAlignment="1">
      <alignment horizontal="center" vertical="center"/>
    </xf>
    <xf numFmtId="167" fontId="3" fillId="0" borderId="1" xfId="0" applyNumberFormat="1" applyFont="1" applyBorder="1" applyAlignment="1" applyProtection="1">
      <alignment vertical="center"/>
      <protection locked="0"/>
    </xf>
    <xf numFmtId="164" fontId="3" fillId="3" borderId="2" xfId="0" applyNumberFormat="1" applyFont="1" applyFill="1" applyBorder="1" applyAlignment="1">
      <alignment horizontal="left" vertical="center"/>
    </xf>
    <xf numFmtId="17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2" fontId="3" fillId="0" borderId="1" xfId="0" applyNumberFormat="1" applyFont="1" applyBorder="1" applyAlignment="1" applyProtection="1">
      <alignment horizontal="right" vertical="center"/>
      <protection hidden="1"/>
    </xf>
    <xf numFmtId="0" fontId="3" fillId="0" borderId="0" xfId="0" applyFont="1" applyAlignment="1">
      <alignment horizontal="right" vertical="center"/>
    </xf>
    <xf numFmtId="0" fontId="18" fillId="0" borderId="0" xfId="0" applyFont="1" applyAlignment="1">
      <alignment horizontal="center" vertical="center" wrapText="1"/>
    </xf>
    <xf numFmtId="0" fontId="3" fillId="3" borderId="1" xfId="0" applyFont="1" applyFill="1" applyBorder="1" applyAlignment="1">
      <alignment horizontal="center" vertical="center"/>
    </xf>
    <xf numFmtId="0" fontId="3" fillId="0" borderId="2" xfId="0" applyFont="1" applyBorder="1" applyAlignment="1" applyProtection="1">
      <alignment horizontal="left" vertical="center"/>
      <protection hidden="1"/>
    </xf>
    <xf numFmtId="0" fontId="3" fillId="0" borderId="1" xfId="0" applyFont="1" applyBorder="1" applyAlignment="1">
      <alignment horizontal="left" vertical="center"/>
    </xf>
    <xf numFmtId="0" fontId="9" fillId="4" borderId="0" xfId="0" applyFont="1" applyFill="1" applyAlignment="1">
      <alignment horizontal="left" vertical="center"/>
    </xf>
    <xf numFmtId="0" fontId="9" fillId="4" borderId="0" xfId="0" applyFont="1" applyFill="1" applyAlignment="1">
      <alignment vertical="center"/>
    </xf>
    <xf numFmtId="0" fontId="9" fillId="3" borderId="0" xfId="0" applyFont="1" applyFill="1" applyAlignment="1">
      <alignment horizontal="left" vertical="center"/>
    </xf>
    <xf numFmtId="165" fontId="3" fillId="0" borderId="1" xfId="0" applyNumberFormat="1" applyFont="1" applyBorder="1" applyAlignment="1" applyProtection="1">
      <alignment horizontal="right" vertical="center"/>
      <protection hidden="1"/>
    </xf>
    <xf numFmtId="165" fontId="3" fillId="0" borderId="2" xfId="0" applyNumberFormat="1" applyFont="1" applyBorder="1" applyAlignment="1" applyProtection="1">
      <alignment horizontal="right" vertical="center"/>
      <protection hidden="1"/>
    </xf>
    <xf numFmtId="173" fontId="3" fillId="0" borderId="2" xfId="0" applyNumberFormat="1" applyFont="1" applyBorder="1" applyAlignment="1" applyProtection="1">
      <alignment horizontal="right" vertical="center"/>
      <protection locked="0"/>
    </xf>
    <xf numFmtId="2" fontId="3" fillId="0" borderId="2" xfId="0" applyNumberFormat="1" applyFont="1" applyBorder="1" applyAlignment="1" applyProtection="1">
      <alignment horizontal="right" vertical="center"/>
      <protection hidden="1"/>
    </xf>
    <xf numFmtId="170" fontId="3" fillId="0" borderId="2" xfId="0" applyNumberFormat="1" applyFont="1" applyBorder="1" applyAlignment="1" applyProtection="1">
      <alignment horizontal="center" vertical="center"/>
      <protection locked="0"/>
    </xf>
    <xf numFmtId="0" fontId="11" fillId="0" borderId="2" xfId="1" applyBorder="1" applyAlignment="1" applyProtection="1">
      <alignment horizontal="left" vertical="center"/>
      <protection locked="0"/>
    </xf>
    <xf numFmtId="171" fontId="3" fillId="0" borderId="1" xfId="0" applyNumberFormat="1" applyFont="1" applyBorder="1" applyAlignment="1" applyProtection="1">
      <alignment horizontal="center" vertical="center"/>
      <protection locked="0"/>
    </xf>
    <xf numFmtId="2" fontId="3" fillId="0" borderId="2"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right" vertical="center"/>
      <protection hidden="1"/>
    </xf>
    <xf numFmtId="0" fontId="3" fillId="0" borderId="1" xfId="0" applyFont="1" applyBorder="1" applyAlignment="1" applyProtection="1">
      <alignment horizontal="right" vertical="center"/>
      <protection hidden="1"/>
    </xf>
    <xf numFmtId="2" fontId="3" fillId="0" borderId="1" xfId="0" applyNumberFormat="1" applyFont="1" applyBorder="1" applyAlignment="1">
      <alignment horizontal="right" vertical="center"/>
    </xf>
    <xf numFmtId="2" fontId="3" fillId="0" borderId="2" xfId="0" applyNumberFormat="1" applyFont="1" applyBorder="1" applyAlignment="1">
      <alignment horizontal="right" vertical="center"/>
    </xf>
    <xf numFmtId="3" fontId="3" fillId="0" borderId="1" xfId="0" applyNumberFormat="1" applyFont="1" applyBorder="1" applyAlignment="1">
      <alignment horizontal="right" vertical="center"/>
    </xf>
    <xf numFmtId="3" fontId="3" fillId="0" borderId="2" xfId="0" applyNumberFormat="1" applyFont="1" applyBorder="1" applyAlignment="1">
      <alignment horizontal="right" vertical="center"/>
    </xf>
    <xf numFmtId="0" fontId="3" fillId="0" borderId="0" xfId="0" applyFont="1" applyAlignment="1">
      <alignment horizontal="left" vertical="top" wrapText="1"/>
    </xf>
  </cellXfs>
  <cellStyles count="3">
    <cellStyle name="Hyperlink" xfId="1" builtinId="8"/>
    <cellStyle name="Normal" xfId="0" builtinId="0"/>
    <cellStyle name="Percent" xfId="2" builtinId="5"/>
  </cellStyles>
  <dxfs count="305">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numFmt numFmtId="3" formatCode="#,##0"/>
    </dxf>
    <dxf>
      <numFmt numFmtId="177" formatCode="0.0000"/>
    </dxf>
    <dxf>
      <fill>
        <patternFill>
          <bgColor theme="5" tint="0.59996337778862885"/>
        </patternFill>
      </fill>
    </dxf>
    <dxf>
      <numFmt numFmtId="3" formatCode="#,##0"/>
    </dxf>
    <dxf>
      <numFmt numFmtId="177" formatCode="0.000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numFmt numFmtId="3" formatCode="#,##0"/>
    </dxf>
    <dxf>
      <numFmt numFmtId="177" formatCode="0.0000"/>
    </dxf>
    <dxf>
      <fill>
        <patternFill>
          <bgColor theme="5"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numFmt numFmtId="3" formatCode="#,##0"/>
    </dxf>
    <dxf>
      <numFmt numFmtId="178" formatCode="#,##0.0000"/>
    </dxf>
    <dxf>
      <fill>
        <patternFill>
          <bgColor theme="7" tint="0.59996337778862885"/>
        </patternFill>
      </fill>
    </dxf>
    <dxf>
      <fill>
        <patternFill>
          <bgColor theme="7" tint="0.59996337778862885"/>
        </patternFill>
      </fill>
    </dxf>
    <dxf>
      <fill>
        <patternFill>
          <bgColor theme="9" tint="0.59996337778862885"/>
        </patternFill>
      </fill>
    </dxf>
    <dxf>
      <numFmt numFmtId="3" formatCode="#,##0"/>
    </dxf>
    <dxf>
      <numFmt numFmtId="177" formatCode="0.000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FF0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5"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rgb="FFFF0000"/>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FF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1.jpg"/></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0.png"/><Relationship Id="rId1" Type="http://schemas.openxmlformats.org/officeDocument/2006/relationships/image" Target="../media/image13.png"/><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4</xdr:col>
      <xdr:colOff>318892</xdr:colOff>
      <xdr:row>39</xdr:row>
      <xdr:rowOff>42710</xdr:rowOff>
    </xdr:from>
    <xdr:to>
      <xdr:col>4</xdr:col>
      <xdr:colOff>1182492</xdr:colOff>
      <xdr:row>39</xdr:row>
      <xdr:rowOff>791104</xdr:rowOff>
    </xdr:to>
    <xdr:pic>
      <xdr:nvPicPr>
        <xdr:cNvPr id="7" name="Picture 6">
          <a:extLst>
            <a:ext uri="{FF2B5EF4-FFF2-40B4-BE49-F238E27FC236}">
              <a16:creationId xmlns:a16="http://schemas.microsoft.com/office/drawing/2014/main" id="{993E7F6A-B6E9-41E9-A542-7BEF39FA14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121272" y="9773450"/>
          <a:ext cx="863600" cy="752204"/>
        </a:xfrm>
        <a:prstGeom prst="rect">
          <a:avLst/>
        </a:prstGeom>
        <a:noFill/>
        <a:ln>
          <a:noFill/>
        </a:ln>
      </xdr:spPr>
    </xdr:pic>
    <xdr:clientData/>
  </xdr:twoCellAnchor>
  <xdr:twoCellAnchor editAs="oneCell">
    <xdr:from>
      <xdr:col>2</xdr:col>
      <xdr:colOff>134425</xdr:colOff>
      <xdr:row>38</xdr:row>
      <xdr:rowOff>90173</xdr:rowOff>
    </xdr:from>
    <xdr:to>
      <xdr:col>2</xdr:col>
      <xdr:colOff>930714</xdr:colOff>
      <xdr:row>39</xdr:row>
      <xdr:rowOff>2075</xdr:rowOff>
    </xdr:to>
    <xdr:pic>
      <xdr:nvPicPr>
        <xdr:cNvPr id="10" name="Picture 9">
          <a:extLst>
            <a:ext uri="{FF2B5EF4-FFF2-40B4-BE49-F238E27FC236}">
              <a16:creationId xmlns:a16="http://schemas.microsoft.com/office/drawing/2014/main" id="{3D73E453-C06D-4DD4-83A3-B9E5258DAA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990828" y="9615173"/>
          <a:ext cx="796289" cy="706755"/>
        </a:xfrm>
        <a:prstGeom prst="rect">
          <a:avLst/>
        </a:prstGeom>
        <a:noFill/>
        <a:ln>
          <a:noFill/>
        </a:ln>
      </xdr:spPr>
    </xdr:pic>
    <xdr:clientData/>
  </xdr:twoCellAnchor>
  <xdr:twoCellAnchor editAs="oneCell">
    <xdr:from>
      <xdr:col>2</xdr:col>
      <xdr:colOff>170814</xdr:colOff>
      <xdr:row>35</xdr:row>
      <xdr:rowOff>49846</xdr:rowOff>
    </xdr:from>
    <xdr:to>
      <xdr:col>2</xdr:col>
      <xdr:colOff>898524</xdr:colOff>
      <xdr:row>35</xdr:row>
      <xdr:rowOff>784239</xdr:rowOff>
    </xdr:to>
    <xdr:pic>
      <xdr:nvPicPr>
        <xdr:cNvPr id="11" name="Picture 10">
          <a:extLst>
            <a:ext uri="{FF2B5EF4-FFF2-40B4-BE49-F238E27FC236}">
              <a16:creationId xmlns:a16="http://schemas.microsoft.com/office/drawing/2014/main" id="{10E5F845-1F03-4F4D-B2BC-B05710ABA2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27217" y="7300509"/>
          <a:ext cx="723900" cy="730583"/>
        </a:xfrm>
        <a:prstGeom prst="rect">
          <a:avLst/>
        </a:prstGeom>
        <a:ln>
          <a:noFill/>
        </a:ln>
      </xdr:spPr>
    </xdr:pic>
    <xdr:clientData/>
  </xdr:twoCellAnchor>
  <xdr:twoCellAnchor editAs="oneCell">
    <xdr:from>
      <xdr:col>2</xdr:col>
      <xdr:colOff>113620</xdr:colOff>
      <xdr:row>37</xdr:row>
      <xdr:rowOff>93822</xdr:rowOff>
    </xdr:from>
    <xdr:to>
      <xdr:col>2</xdr:col>
      <xdr:colOff>951518</xdr:colOff>
      <xdr:row>38</xdr:row>
      <xdr:rowOff>20343</xdr:rowOff>
    </xdr:to>
    <xdr:pic>
      <xdr:nvPicPr>
        <xdr:cNvPr id="12" name="Picture 11">
          <a:extLst>
            <a:ext uri="{FF2B5EF4-FFF2-40B4-BE49-F238E27FC236}">
              <a16:creationId xmlns:a16="http://schemas.microsoft.com/office/drawing/2014/main" id="{8C985F67-4DC8-4915-81E3-E884CD504AF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970023" y="8860710"/>
          <a:ext cx="837898" cy="720090"/>
        </a:xfrm>
        <a:prstGeom prst="rect">
          <a:avLst/>
        </a:prstGeom>
        <a:noFill/>
        <a:ln>
          <a:noFill/>
        </a:ln>
      </xdr:spPr>
    </xdr:pic>
    <xdr:clientData/>
  </xdr:twoCellAnchor>
  <xdr:twoCellAnchor editAs="oneCell">
    <xdr:from>
      <xdr:col>2</xdr:col>
      <xdr:colOff>175130</xdr:colOff>
      <xdr:row>36</xdr:row>
      <xdr:rowOff>91756</xdr:rowOff>
    </xdr:from>
    <xdr:to>
      <xdr:col>2</xdr:col>
      <xdr:colOff>895724</xdr:colOff>
      <xdr:row>37</xdr:row>
      <xdr:rowOff>1133</xdr:rowOff>
    </xdr:to>
    <xdr:pic>
      <xdr:nvPicPr>
        <xdr:cNvPr id="13" name="Picture 12" descr="Logo&#10;&#10;Description automatically generated">
          <a:extLst>
            <a:ext uri="{FF2B5EF4-FFF2-40B4-BE49-F238E27FC236}">
              <a16:creationId xmlns:a16="http://schemas.microsoft.com/office/drawing/2014/main" id="{2AC825A1-53E2-45A8-8241-FC60494996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031533" y="8100532"/>
          <a:ext cx="720594" cy="72580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349576</xdr:colOff>
          <xdr:row>35</xdr:row>
          <xdr:rowOff>546</xdr:rowOff>
        </xdr:from>
        <xdr:to>
          <xdr:col>4</xdr:col>
          <xdr:colOff>1382086</xdr:colOff>
          <xdr:row>36</xdr:row>
          <xdr:rowOff>546</xdr:rowOff>
        </xdr:to>
        <xdr:pic>
          <xdr:nvPicPr>
            <xdr:cNvPr id="15" name="Picture 14">
              <a:extLst>
                <a:ext uri="{FF2B5EF4-FFF2-40B4-BE49-F238E27FC236}">
                  <a16:creationId xmlns:a16="http://schemas.microsoft.com/office/drawing/2014/main" id="{2C890635-FD55-45B4-91BB-696BDB8A3020}"/>
                </a:ext>
              </a:extLst>
            </xdr:cNvPr>
            <xdr:cNvPicPr>
              <a:picLocks noChangeAspect="1"/>
              <a:extLst>
                <a:ext uri="{84589F7E-364E-4C9E-8A38-B11213B215E9}">
                  <a14:cameraTool cellRange="Logo" spid="_x0000_s19683"/>
                </a:ext>
              </a:extLst>
            </xdr:cNvPicPr>
          </xdr:nvPicPr>
          <xdr:blipFill rotWithShape="1">
            <a:blip xmlns:r="http://schemas.openxmlformats.org/officeDocument/2006/relationships" r:embed="rId6"/>
            <a:stretch>
              <a:fillRect/>
            </a:stretch>
          </xdr:blipFill>
          <xdr:spPr bwMode="auto">
            <a:xfrm>
              <a:off x="3755716" y="6439446"/>
              <a:ext cx="1424940" cy="822960"/>
            </a:xfrm>
            <a:prstGeom prst="rect">
              <a:avLst/>
            </a:prstGeom>
            <a:noFill/>
            <a:ln>
              <a:noFill/>
            </a:ln>
          </xdr:spPr>
        </xdr:pic>
        <xdr:clientData/>
      </xdr:twoCellAnchor>
    </mc:Choice>
    <mc:Fallback/>
  </mc:AlternateContent>
  <xdr:twoCellAnchor editAs="oneCell">
    <xdr:from>
      <xdr:col>2</xdr:col>
      <xdr:colOff>53340</xdr:colOff>
      <xdr:row>39</xdr:row>
      <xdr:rowOff>220980</xdr:rowOff>
    </xdr:from>
    <xdr:to>
      <xdr:col>2</xdr:col>
      <xdr:colOff>1408471</xdr:colOff>
      <xdr:row>39</xdr:row>
      <xdr:rowOff>713038</xdr:rowOff>
    </xdr:to>
    <xdr:pic>
      <xdr:nvPicPr>
        <xdr:cNvPr id="2" name="Picture 1">
          <a:extLst>
            <a:ext uri="{FF2B5EF4-FFF2-40B4-BE49-F238E27FC236}">
              <a16:creationId xmlns:a16="http://schemas.microsoft.com/office/drawing/2014/main" id="{4395E017-A77F-4E1A-9D4E-4F0205ABE5A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21267" b="19271"/>
        <a:stretch/>
      </xdr:blipFill>
      <xdr:spPr>
        <a:xfrm>
          <a:off x="2034540" y="9951720"/>
          <a:ext cx="1355131" cy="495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41910</xdr:colOff>
      <xdr:row>53</xdr:row>
      <xdr:rowOff>62865</xdr:rowOff>
    </xdr:from>
    <xdr:to>
      <xdr:col>35</xdr:col>
      <xdr:colOff>135635</xdr:colOff>
      <xdr:row>54</xdr:row>
      <xdr:rowOff>136134</xdr:rowOff>
    </xdr:to>
    <xdr:pic>
      <xdr:nvPicPr>
        <xdr:cNvPr id="9" name="Picture 8">
          <a:extLst>
            <a:ext uri="{FF2B5EF4-FFF2-40B4-BE49-F238E27FC236}">
              <a16:creationId xmlns:a16="http://schemas.microsoft.com/office/drawing/2014/main" id="{B0BE7FD3-1275-479F-80D1-3C983C2323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4410" y="8743315"/>
          <a:ext cx="669035" cy="267579"/>
        </a:xfrm>
        <a:prstGeom prst="rect">
          <a:avLst/>
        </a:prstGeom>
      </xdr:spPr>
    </xdr:pic>
    <xdr:clientData/>
  </xdr:twoCellAnchor>
  <xdr:oneCellAnchor>
    <xdr:from>
      <xdr:col>32</xdr:col>
      <xdr:colOff>52705</xdr:colOff>
      <xdr:row>100</xdr:row>
      <xdr:rowOff>86995</xdr:rowOff>
    </xdr:from>
    <xdr:ext cx="706616" cy="257707"/>
    <xdr:pic>
      <xdr:nvPicPr>
        <xdr:cNvPr id="13" name="Picture 12">
          <a:extLst>
            <a:ext uri="{FF2B5EF4-FFF2-40B4-BE49-F238E27FC236}">
              <a16:creationId xmlns:a16="http://schemas.microsoft.com/office/drawing/2014/main" id="{41ED544F-41E3-4E8F-A6BA-B2DF7EF52D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5205" y="16984345"/>
          <a:ext cx="706616" cy="257707"/>
        </a:xfrm>
        <a:prstGeom prst="rect">
          <a:avLst/>
        </a:prstGeom>
      </xdr:spPr>
    </xdr:pic>
    <xdr:clientData/>
  </xdr:oneCellAnchor>
  <xdr:oneCellAnchor>
    <xdr:from>
      <xdr:col>32</xdr:col>
      <xdr:colOff>47625</xdr:colOff>
      <xdr:row>143</xdr:row>
      <xdr:rowOff>72390</xdr:rowOff>
    </xdr:from>
    <xdr:ext cx="706616" cy="257707"/>
    <xdr:pic>
      <xdr:nvPicPr>
        <xdr:cNvPr id="14" name="Picture 13">
          <a:extLst>
            <a:ext uri="{FF2B5EF4-FFF2-40B4-BE49-F238E27FC236}">
              <a16:creationId xmlns:a16="http://schemas.microsoft.com/office/drawing/2014/main" id="{FD5143E6-0D37-4109-A5FC-A2620C6373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0125" y="25351740"/>
          <a:ext cx="706616" cy="257707"/>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95250</xdr:colOff>
          <xdr:row>4</xdr:row>
          <xdr:rowOff>26891</xdr:rowOff>
        </xdr:to>
        <xdr:pic>
          <xdr:nvPicPr>
            <xdr:cNvPr id="2" name="Picture 1">
              <a:extLst>
                <a:ext uri="{FF2B5EF4-FFF2-40B4-BE49-F238E27FC236}">
                  <a16:creationId xmlns:a16="http://schemas.microsoft.com/office/drawing/2014/main" id="{7186B492-6E70-4EE0-ADFC-D95A1F4396F1}"/>
                </a:ext>
              </a:extLst>
            </xdr:cNvPr>
            <xdr:cNvPicPr>
              <a:picLocks noChangeAspect="1"/>
              <a:extLst>
                <a:ext uri="{84589F7E-364E-4C9E-8A38-B11213B215E9}">
                  <a14:cameraTool cellRange="Logo" spid="_x0000_s26013"/>
                </a:ext>
              </a:extLst>
            </xdr:cNvPicPr>
          </xdr:nvPicPr>
          <xdr:blipFill rotWithShape="1">
            <a:blip xmlns:r="http://schemas.openxmlformats.org/officeDocument/2006/relationships" r:embed="rId3"/>
            <a:stretch>
              <a:fillRect/>
            </a:stretch>
          </xdr:blipFill>
          <xdr:spPr bwMode="auto">
            <a:xfrm>
              <a:off x="0" y="0"/>
              <a:ext cx="1365250" cy="788891"/>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111941</xdr:colOff>
          <xdr:row>0</xdr:row>
          <xdr:rowOff>-47411</xdr:rowOff>
        </xdr:from>
        <xdr:to>
          <xdr:col>50</xdr:col>
          <xdr:colOff>148771</xdr:colOff>
          <xdr:row>4</xdr:row>
          <xdr:rowOff>28789</xdr:rowOff>
        </xdr:to>
        <xdr:pic>
          <xdr:nvPicPr>
            <xdr:cNvPr id="4" name="Picture 3">
              <a:extLst>
                <a:ext uri="{FF2B5EF4-FFF2-40B4-BE49-F238E27FC236}">
                  <a16:creationId xmlns:a16="http://schemas.microsoft.com/office/drawing/2014/main" id="{C2534FD7-DB09-4ADD-885B-A20826857FEF}"/>
                </a:ext>
              </a:extLst>
            </xdr:cNvPr>
            <xdr:cNvPicPr>
              <a:picLocks noChangeAspect="1"/>
              <a:extLst>
                <a:ext uri="{84589F7E-364E-4C9E-8A38-B11213B215E9}">
                  <a14:cameraTool cellRange="Logo" spid="_x0000_s26014"/>
                </a:ext>
              </a:extLst>
            </xdr:cNvPicPr>
          </xdr:nvPicPr>
          <xdr:blipFill rotWithShape="1">
            <a:blip xmlns:r="http://schemas.openxmlformats.org/officeDocument/2006/relationships" r:embed="rId3"/>
            <a:stretch>
              <a:fillRect/>
            </a:stretch>
          </xdr:blipFill>
          <xdr:spPr bwMode="auto">
            <a:xfrm>
              <a:off x="7096941" y="-47411"/>
              <a:ext cx="1440180" cy="838200"/>
            </a:xfrm>
            <a:prstGeom prst="rect">
              <a:avLst/>
            </a:prstGeom>
            <a:noFill/>
            <a:ln>
              <a:noFill/>
            </a:ln>
          </xdr:spPr>
        </xdr:pic>
        <xdr:clientData/>
      </xdr:twoCellAnchor>
    </mc:Choice>
    <mc:Fallback/>
  </mc:AlternateContent>
  <xdr:oneCellAnchor>
    <xdr:from>
      <xdr:col>32</xdr:col>
      <xdr:colOff>124460</xdr:colOff>
      <xdr:row>197</xdr:row>
      <xdr:rowOff>78740</xdr:rowOff>
    </xdr:from>
    <xdr:ext cx="707488" cy="259080"/>
    <xdr:pic>
      <xdr:nvPicPr>
        <xdr:cNvPr id="5" name="Picture 4">
          <a:extLst>
            <a:ext uri="{FF2B5EF4-FFF2-40B4-BE49-F238E27FC236}">
              <a16:creationId xmlns:a16="http://schemas.microsoft.com/office/drawing/2014/main" id="{21E0A726-982C-4E89-AEC0-2635B52A9C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58865" y="25643840"/>
          <a:ext cx="707488" cy="259080"/>
        </a:xfrm>
        <a:prstGeom prst="rect">
          <a:avLst/>
        </a:prstGeom>
      </xdr:spPr>
    </xdr:pic>
    <xdr:clientData/>
  </xdr:oneCellAnchor>
  <xdr:twoCellAnchor editAs="oneCell">
    <xdr:from>
      <xdr:col>46</xdr:col>
      <xdr:colOff>52705</xdr:colOff>
      <xdr:row>56</xdr:row>
      <xdr:rowOff>76200</xdr:rowOff>
    </xdr:from>
    <xdr:to>
      <xdr:col>74</xdr:col>
      <xdr:colOff>93345</xdr:colOff>
      <xdr:row>101</xdr:row>
      <xdr:rowOff>167640</xdr:rowOff>
    </xdr:to>
    <xdr:pic>
      <xdr:nvPicPr>
        <xdr:cNvPr id="7" name="Picture 6">
          <a:extLst>
            <a:ext uri="{FF2B5EF4-FFF2-40B4-BE49-F238E27FC236}">
              <a16:creationId xmlns:a16="http://schemas.microsoft.com/office/drawing/2014/main" id="{C7BE75EB-C517-725F-27A1-E90BFC9E1E42}"/>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232" t="908" r="5520" b="4059"/>
        <a:stretch/>
      </xdr:blipFill>
      <xdr:spPr>
        <a:xfrm>
          <a:off x="7679055" y="9201150"/>
          <a:ext cx="5384165" cy="8058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31</xdr:col>
      <xdr:colOff>187325</xdr:colOff>
      <xdr:row>112</xdr:row>
      <xdr:rowOff>102235</xdr:rowOff>
    </xdr:from>
    <xdr:ext cx="712568" cy="259080"/>
    <xdr:pic>
      <xdr:nvPicPr>
        <xdr:cNvPr id="2" name="Picture 1" descr="A blue text on a white background&#10;&#10;Description automatically generated">
          <a:extLst>
            <a:ext uri="{FF2B5EF4-FFF2-40B4-BE49-F238E27FC236}">
              <a16:creationId xmlns:a16="http://schemas.microsoft.com/office/drawing/2014/main" id="{08BE371A-2EC0-4F0C-80D0-36E0B1B60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4245" y="1778063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43</xdr:col>
          <xdr:colOff>94615</xdr:colOff>
          <xdr:row>0</xdr:row>
          <xdr:rowOff>15875</xdr:rowOff>
        </xdr:from>
        <xdr:to>
          <xdr:col>51</xdr:col>
          <xdr:colOff>10795</xdr:colOff>
          <xdr:row>5</xdr:row>
          <xdr:rowOff>34925</xdr:rowOff>
        </xdr:to>
        <xdr:pic>
          <xdr:nvPicPr>
            <xdr:cNvPr id="4" name="Picture 3">
              <a:extLst>
                <a:ext uri="{FF2B5EF4-FFF2-40B4-BE49-F238E27FC236}">
                  <a16:creationId xmlns:a16="http://schemas.microsoft.com/office/drawing/2014/main" id="{D0BBA9B3-3A89-4078-9509-894332737412}"/>
                </a:ext>
              </a:extLst>
            </xdr:cNvPr>
            <xdr:cNvPicPr>
              <a:picLocks noChangeAspect="1" noChangeArrowheads="1"/>
              <a:extLst>
                <a:ext uri="{84589F7E-364E-4C9E-8A38-B11213B215E9}">
                  <a14:cameraTool cellRange="Logo" spid="_x0000_s16370"/>
                </a:ext>
              </a:extLst>
            </xdr:cNvPicPr>
          </xdr:nvPicPr>
          <xdr:blipFill>
            <a:blip xmlns:r="http://schemas.openxmlformats.org/officeDocument/2006/relationships" r:embed="rId2"/>
            <a:stretch>
              <a:fillRect/>
            </a:stretch>
          </xdr:blipFill>
          <xdr:spPr bwMode="auto">
            <a:xfrm>
              <a:off x="7206615" y="15875"/>
              <a:ext cx="1440180" cy="83820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31</xdr:col>
      <xdr:colOff>187325</xdr:colOff>
      <xdr:row>64</xdr:row>
      <xdr:rowOff>117475</xdr:rowOff>
    </xdr:from>
    <xdr:ext cx="712568" cy="259080"/>
    <xdr:pic>
      <xdr:nvPicPr>
        <xdr:cNvPr id="5" name="Picture 4">
          <a:extLst>
            <a:ext uri="{FF2B5EF4-FFF2-40B4-BE49-F238E27FC236}">
              <a16:creationId xmlns:a16="http://schemas.microsoft.com/office/drawing/2014/main" id="{5BAEA85D-E5D5-421B-9743-3411295AFF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4245" y="903287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12065</xdr:rowOff>
        </xdr:from>
        <xdr:to>
          <xdr:col>7</xdr:col>
          <xdr:colOff>38822</xdr:colOff>
          <xdr:row>4</xdr:row>
          <xdr:rowOff>6350</xdr:rowOff>
        </xdr:to>
        <xdr:pic>
          <xdr:nvPicPr>
            <xdr:cNvPr id="6" name="Picture 5">
              <a:extLst>
                <a:ext uri="{FF2B5EF4-FFF2-40B4-BE49-F238E27FC236}">
                  <a16:creationId xmlns:a16="http://schemas.microsoft.com/office/drawing/2014/main" id="{26633266-0633-4FE5-8BA0-9404780EC279}"/>
                </a:ext>
              </a:extLst>
            </xdr:cNvPr>
            <xdr:cNvPicPr>
              <a:picLocks noChangeAspect="1"/>
              <a:extLst>
                <a:ext uri="{84589F7E-364E-4C9E-8A38-B11213B215E9}">
                  <a14:cameraTool cellRange="Logo" spid="_x0000_s16371"/>
                </a:ext>
              </a:extLst>
            </xdr:cNvPicPr>
          </xdr:nvPicPr>
          <xdr:blipFill rotWithShape="1">
            <a:blip xmlns:r="http://schemas.openxmlformats.org/officeDocument/2006/relationships" r:embed="rId2"/>
            <a:stretch>
              <a:fillRect/>
            </a:stretch>
          </xdr:blipFill>
          <xdr:spPr bwMode="auto">
            <a:xfrm>
              <a:off x="0" y="12065"/>
              <a:ext cx="1308822" cy="756285"/>
            </a:xfrm>
            <a:prstGeom prst="rect">
              <a:avLst/>
            </a:prstGeom>
            <a:noFill/>
            <a:ln>
              <a:noFill/>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33</xdr:col>
      <xdr:colOff>104140</xdr:colOff>
      <xdr:row>55</xdr:row>
      <xdr:rowOff>76835</xdr:rowOff>
    </xdr:from>
    <xdr:to>
      <xdr:col>37</xdr:col>
      <xdr:colOff>134718</xdr:colOff>
      <xdr:row>56</xdr:row>
      <xdr:rowOff>135255</xdr:rowOff>
    </xdr:to>
    <xdr:pic>
      <xdr:nvPicPr>
        <xdr:cNvPr id="6" name="Picture 5">
          <a:extLst>
            <a:ext uri="{FF2B5EF4-FFF2-40B4-BE49-F238E27FC236}">
              <a16:creationId xmlns:a16="http://schemas.microsoft.com/office/drawing/2014/main" id="{E85FDF18-2D4E-4BCE-9D4D-283B72410E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4590" y="8554085"/>
          <a:ext cx="713838" cy="258445"/>
        </a:xfrm>
        <a:prstGeom prst="rect">
          <a:avLst/>
        </a:prstGeom>
      </xdr:spPr>
    </xdr:pic>
    <xdr:clientData/>
  </xdr:twoCellAnchor>
  <xdr:oneCellAnchor>
    <xdr:from>
      <xdr:col>33</xdr:col>
      <xdr:colOff>87630</xdr:colOff>
      <xdr:row>101</xdr:row>
      <xdr:rowOff>58420</xdr:rowOff>
    </xdr:from>
    <xdr:ext cx="707488" cy="259080"/>
    <xdr:pic>
      <xdr:nvPicPr>
        <xdr:cNvPr id="7" name="Picture 6">
          <a:extLst>
            <a:ext uri="{FF2B5EF4-FFF2-40B4-BE49-F238E27FC236}">
              <a16:creationId xmlns:a16="http://schemas.microsoft.com/office/drawing/2014/main" id="{DAA5B764-0289-405B-B4B4-44E11C22C4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8080" y="16943070"/>
          <a:ext cx="707488" cy="259080"/>
        </a:xfrm>
        <a:prstGeom prst="rect">
          <a:avLst/>
        </a:prstGeom>
      </xdr:spPr>
    </xdr:pic>
    <xdr:clientData/>
  </xdr:oneCellAnchor>
  <xdr:oneCellAnchor>
    <xdr:from>
      <xdr:col>33</xdr:col>
      <xdr:colOff>110490</xdr:colOff>
      <xdr:row>145</xdr:row>
      <xdr:rowOff>92075</xdr:rowOff>
    </xdr:from>
    <xdr:ext cx="707488" cy="259080"/>
    <xdr:pic>
      <xdr:nvPicPr>
        <xdr:cNvPr id="8" name="Picture 7">
          <a:extLst>
            <a:ext uri="{FF2B5EF4-FFF2-40B4-BE49-F238E27FC236}">
              <a16:creationId xmlns:a16="http://schemas.microsoft.com/office/drawing/2014/main" id="{3808CA13-CB24-4776-AF37-59C2D6A983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50940" y="25415875"/>
          <a:ext cx="70748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45</xdr:col>
          <xdr:colOff>179886</xdr:colOff>
          <xdr:row>0</xdr:row>
          <xdr:rowOff>-47411</xdr:rowOff>
        </xdr:from>
        <xdr:to>
          <xdr:col>52</xdr:col>
          <xdr:colOff>7166</xdr:colOff>
          <xdr:row>4</xdr:row>
          <xdr:rowOff>28789</xdr:rowOff>
        </xdr:to>
        <xdr:pic>
          <xdr:nvPicPr>
            <xdr:cNvPr id="2" name="Picture 1">
              <a:extLst>
                <a:ext uri="{FF2B5EF4-FFF2-40B4-BE49-F238E27FC236}">
                  <a16:creationId xmlns:a16="http://schemas.microsoft.com/office/drawing/2014/main" id="{43250CB7-4703-415A-863F-82FC5F5634D0}"/>
                </a:ext>
              </a:extLst>
            </xdr:cNvPr>
            <xdr:cNvPicPr>
              <a:picLocks noChangeAspect="1"/>
              <a:extLst>
                <a:ext uri="{84589F7E-364E-4C9E-8A38-B11213B215E9}">
                  <a14:cameraTool cellRange="Logo" spid="_x0000_s26994"/>
                </a:ext>
              </a:extLst>
            </xdr:cNvPicPr>
          </xdr:nvPicPr>
          <xdr:blipFill rotWithShape="1">
            <a:blip xmlns:r="http://schemas.openxmlformats.org/officeDocument/2006/relationships" r:embed="rId3"/>
            <a:stretch>
              <a:fillRect/>
            </a:stretch>
          </xdr:blipFill>
          <xdr:spPr bwMode="auto">
            <a:xfrm>
              <a:off x="7209336" y="-47411"/>
              <a:ext cx="1440180" cy="83820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-78559</xdr:colOff>
          <xdr:row>0</xdr:row>
          <xdr:rowOff>-47411</xdr:rowOff>
        </xdr:from>
        <xdr:to>
          <xdr:col>7</xdr:col>
          <xdr:colOff>53521</xdr:colOff>
          <xdr:row>4</xdr:row>
          <xdr:rowOff>28789</xdr:rowOff>
        </xdr:to>
        <xdr:pic>
          <xdr:nvPicPr>
            <xdr:cNvPr id="3" name="Picture 2">
              <a:extLst>
                <a:ext uri="{FF2B5EF4-FFF2-40B4-BE49-F238E27FC236}">
                  <a16:creationId xmlns:a16="http://schemas.microsoft.com/office/drawing/2014/main" id="{CD3EC917-351B-4FF6-B505-E2498D002C0B}"/>
                </a:ext>
              </a:extLst>
            </xdr:cNvPr>
            <xdr:cNvPicPr>
              <a:picLocks noChangeAspect="1"/>
              <a:extLst>
                <a:ext uri="{84589F7E-364E-4C9E-8A38-B11213B215E9}">
                  <a14:cameraTool cellRange="Logo" spid="_x0000_s26995"/>
                </a:ext>
              </a:extLst>
            </xdr:cNvPicPr>
          </xdr:nvPicPr>
          <xdr:blipFill rotWithShape="1">
            <a:blip xmlns:r="http://schemas.openxmlformats.org/officeDocument/2006/relationships" r:embed="rId4"/>
            <a:stretch>
              <a:fillRect/>
            </a:stretch>
          </xdr:blipFill>
          <xdr:spPr bwMode="auto">
            <a:xfrm>
              <a:off x="-78559" y="-47411"/>
              <a:ext cx="1440180" cy="838200"/>
            </a:xfrm>
            <a:prstGeom prst="rect">
              <a:avLst/>
            </a:prstGeom>
            <a:noFill/>
            <a:ln>
              <a:noFill/>
            </a:ln>
          </xdr:spPr>
        </xdr:pic>
        <xdr:clientData/>
      </xdr:twoCellAnchor>
    </mc:Choice>
    <mc:Fallback/>
  </mc:AlternateContent>
  <xdr:oneCellAnchor>
    <xdr:from>
      <xdr:col>33</xdr:col>
      <xdr:colOff>80645</xdr:colOff>
      <xdr:row>195</xdr:row>
      <xdr:rowOff>114935</xdr:rowOff>
    </xdr:from>
    <xdr:ext cx="707488" cy="259080"/>
    <xdr:pic>
      <xdr:nvPicPr>
        <xdr:cNvPr id="5" name="Picture 4">
          <a:extLst>
            <a:ext uri="{FF2B5EF4-FFF2-40B4-BE49-F238E27FC236}">
              <a16:creationId xmlns:a16="http://schemas.microsoft.com/office/drawing/2014/main" id="{391F6408-9FDD-4090-BCC8-7A73BB56C5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1095" y="33763585"/>
          <a:ext cx="707488" cy="25908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0EFB0-EACE-4F2E-965F-30EBADAB0D63}" name="T_Material" displayName="T_Material" ref="A1:A10" totalsRowShown="0">
  <autoFilter ref="A1:A10" xr:uid="{4350EFB0-EACE-4F2E-965F-30EBADAB0D63}"/>
  <sortState xmlns:xlrd2="http://schemas.microsoft.com/office/spreadsheetml/2017/richdata2" ref="A2:A10">
    <sortCondition ref="A2:A10"/>
  </sortState>
  <tableColumns count="1">
    <tableColumn id="1" xr3:uid="{20635FEE-B87A-4613-8116-D42DBA41BC7B}" name="Materi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39741E-8EC4-48CA-B62A-CDE619601AF9}" name="T_Shape" displayName="T_Shape" ref="C1:C11" totalsRowShown="0">
  <autoFilter ref="C1:C11" xr:uid="{6939741E-8EC4-48CA-B62A-CDE619601AF9}"/>
  <sortState xmlns:xlrd2="http://schemas.microsoft.com/office/spreadsheetml/2017/richdata2" ref="C2:C11">
    <sortCondition ref="C2:C11"/>
  </sortState>
  <tableColumns count="1">
    <tableColumn id="1" xr3:uid="{FCA45FDF-4BF6-485F-9343-A0FC0251070A}" name="Sha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97A227-8DCB-4BDE-A6B8-65F88654921D}" name="T_Type" displayName="T_Type" ref="E1:E5" totalsRowShown="0">
  <autoFilter ref="E1:E5" xr:uid="{2397A227-8DCB-4BDE-A6B8-65F88654921D}"/>
  <tableColumns count="1">
    <tableColumn id="1" xr3:uid="{027BD434-05A1-4059-97D8-98CB878E91EF}" name="Typ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C10C78-AF29-47BA-9C97-B74BAA8C7E1E}" name="T_Response" displayName="T_Response" ref="G1:G17" totalsRowShown="0">
  <autoFilter ref="G1:G17" xr:uid="{88C10C78-AF29-47BA-9C97-B74BAA8C7E1E}"/>
  <tableColumns count="1">
    <tableColumn id="1" xr3:uid="{C70FD3B5-6EE9-47D3-96F9-BC5D876984C6}" name="Design Respons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CB43-2341-4A92-ACD7-244D3FF85EAC}">
  <sheetPr codeName="Sheet3">
    <tabColor rgb="FFFF0000"/>
  </sheetPr>
  <dimension ref="A1:N40"/>
  <sheetViews>
    <sheetView showGridLines="0" zoomScaleNormal="100" workbookViewId="0">
      <selection activeCell="C14" sqref="C14"/>
    </sheetView>
  </sheetViews>
  <sheetFormatPr defaultRowHeight="14.4" x14ac:dyDescent="0.3"/>
  <cols>
    <col min="1" max="1" width="24.109375" customWidth="1"/>
    <col min="2" max="2" width="4.77734375" customWidth="1"/>
    <col min="3" max="3" width="20.77734375" customWidth="1"/>
    <col min="4" max="4" width="5.77734375" customWidth="1"/>
    <col min="5" max="5" width="25.77734375" customWidth="1"/>
    <col min="6" max="6" width="3.77734375" customWidth="1"/>
    <col min="7" max="7" width="72.6640625" bestFit="1" customWidth="1"/>
    <col min="8" max="8" width="15.77734375" customWidth="1"/>
    <col min="9" max="9" width="22.77734375" bestFit="1" customWidth="1"/>
    <col min="10" max="14" width="18.77734375" customWidth="1"/>
  </cols>
  <sheetData>
    <row r="1" spans="1:14" x14ac:dyDescent="0.3">
      <c r="A1" t="s">
        <v>23</v>
      </c>
      <c r="C1" t="s">
        <v>33</v>
      </c>
      <c r="E1" t="s">
        <v>65</v>
      </c>
      <c r="G1" t="s">
        <v>82</v>
      </c>
      <c r="H1">
        <v>1</v>
      </c>
      <c r="I1" s="122" t="s">
        <v>266</v>
      </c>
      <c r="J1" s="123" t="s">
        <v>166</v>
      </c>
      <c r="K1" s="123" t="s">
        <v>189</v>
      </c>
      <c r="L1" s="123" t="s">
        <v>168</v>
      </c>
      <c r="M1" s="123" t="s">
        <v>165</v>
      </c>
      <c r="N1" s="123" t="s">
        <v>167</v>
      </c>
    </row>
    <row r="2" spans="1:14" x14ac:dyDescent="0.3">
      <c r="A2" t="s">
        <v>24</v>
      </c>
      <c r="C2" t="s">
        <v>322</v>
      </c>
      <c r="E2" s="95" t="s">
        <v>244</v>
      </c>
      <c r="G2" t="s">
        <v>259</v>
      </c>
      <c r="H2">
        <f>H1+1</f>
        <v>2</v>
      </c>
      <c r="I2" s="69" t="s">
        <v>5</v>
      </c>
      <c r="J2" s="152">
        <v>1.1000000000000001</v>
      </c>
      <c r="K2" s="152">
        <v>1.1000000000000001</v>
      </c>
      <c r="L2" s="152">
        <v>1.2</v>
      </c>
      <c r="M2" s="152">
        <v>1.1000000000000001</v>
      </c>
      <c r="N2" s="152">
        <v>1.1000000000000001</v>
      </c>
    </row>
    <row r="3" spans="1:14" x14ac:dyDescent="0.3">
      <c r="A3" t="s">
        <v>72</v>
      </c>
      <c r="C3" t="s">
        <v>323</v>
      </c>
      <c r="E3" t="s">
        <v>245</v>
      </c>
      <c r="G3" t="s">
        <v>77</v>
      </c>
      <c r="H3">
        <f t="shared" ref="H3:H20" si="0">H2+1</f>
        <v>3</v>
      </c>
      <c r="I3" s="66" t="s">
        <v>6</v>
      </c>
      <c r="J3" s="152">
        <v>4.1100000000000003</v>
      </c>
      <c r="K3" s="152">
        <v>4.1399999999999997</v>
      </c>
      <c r="L3" s="152">
        <v>5.7</v>
      </c>
      <c r="M3" s="152">
        <v>4.24</v>
      </c>
      <c r="N3" s="153">
        <v>4.21</v>
      </c>
    </row>
    <row r="4" spans="1:14" x14ac:dyDescent="0.3">
      <c r="A4" t="s">
        <v>73</v>
      </c>
      <c r="C4" t="s">
        <v>185</v>
      </c>
      <c r="E4" t="s">
        <v>269</v>
      </c>
      <c r="G4" t="s">
        <v>83</v>
      </c>
      <c r="H4">
        <f t="shared" si="0"/>
        <v>4</v>
      </c>
      <c r="I4" s="66" t="s">
        <v>7</v>
      </c>
      <c r="J4" s="152">
        <v>5.01</v>
      </c>
      <c r="K4" s="152">
        <v>5.0599999999999996</v>
      </c>
      <c r="L4" s="152">
        <v>7.21</v>
      </c>
      <c r="M4" s="152">
        <v>5.3</v>
      </c>
      <c r="N4" s="153">
        <v>5.24</v>
      </c>
    </row>
    <row r="5" spans="1:14" x14ac:dyDescent="0.3">
      <c r="A5" t="s">
        <v>28</v>
      </c>
      <c r="C5" t="s">
        <v>184</v>
      </c>
      <c r="E5" t="s">
        <v>246</v>
      </c>
      <c r="G5" t="s">
        <v>74</v>
      </c>
      <c r="H5">
        <f t="shared" si="0"/>
        <v>5</v>
      </c>
      <c r="I5" s="66" t="s">
        <v>8</v>
      </c>
      <c r="J5" s="152">
        <v>5.87</v>
      </c>
      <c r="K5" s="152">
        <v>5.91</v>
      </c>
      <c r="L5" s="152">
        <v>8.6300000000000008</v>
      </c>
      <c r="M5" s="152">
        <v>6.24</v>
      </c>
      <c r="N5" s="153">
        <v>6.17</v>
      </c>
    </row>
    <row r="6" spans="1:14" x14ac:dyDescent="0.3">
      <c r="A6" t="s">
        <v>26</v>
      </c>
      <c r="C6" t="s">
        <v>186</v>
      </c>
      <c r="G6" t="str">
        <f>"Velocity &gt; "&amp;C26&amp;" ft/s"</f>
        <v>Velocity &gt; 5 ft/s</v>
      </c>
      <c r="H6">
        <f t="shared" si="0"/>
        <v>6</v>
      </c>
      <c r="I6" s="66" t="s">
        <v>9</v>
      </c>
      <c r="J6" s="152">
        <v>7.21</v>
      </c>
      <c r="K6" s="152">
        <v>7.26</v>
      </c>
      <c r="L6" s="152">
        <v>10.8</v>
      </c>
      <c r="M6" s="152">
        <v>7.64</v>
      </c>
      <c r="N6" s="153">
        <v>7.55</v>
      </c>
    </row>
    <row r="7" spans="1:14" x14ac:dyDescent="0.3">
      <c r="A7" t="s">
        <v>25</v>
      </c>
      <c r="C7" t="s">
        <v>187</v>
      </c>
      <c r="G7" t="s">
        <v>119</v>
      </c>
      <c r="H7">
        <f t="shared" si="0"/>
        <v>7</v>
      </c>
      <c r="I7" s="66" t="s">
        <v>324</v>
      </c>
      <c r="J7" s="152">
        <v>8.3699999999999992</v>
      </c>
      <c r="K7" s="152">
        <v>8.48</v>
      </c>
      <c r="L7" s="152">
        <v>12.7</v>
      </c>
      <c r="M7" s="152">
        <v>8.8000000000000007</v>
      </c>
      <c r="N7" s="153">
        <v>8.6999999999999993</v>
      </c>
    </row>
    <row r="8" spans="1:14" x14ac:dyDescent="0.3">
      <c r="A8" t="s">
        <v>30</v>
      </c>
      <c r="C8" t="s">
        <v>406</v>
      </c>
      <c r="G8" t="s">
        <v>118</v>
      </c>
      <c r="H8">
        <f t="shared" si="0"/>
        <v>8</v>
      </c>
      <c r="I8" s="66" t="s">
        <v>10</v>
      </c>
      <c r="J8" s="152">
        <v>9.65</v>
      </c>
      <c r="K8" s="152">
        <v>9.83</v>
      </c>
      <c r="L8" s="152">
        <v>14.8</v>
      </c>
      <c r="M8" s="152">
        <v>10</v>
      </c>
      <c r="N8" s="153">
        <v>9.93</v>
      </c>
    </row>
    <row r="9" spans="1:14" ht="15.6" x14ac:dyDescent="0.35">
      <c r="A9" t="s">
        <v>27</v>
      </c>
      <c r="C9" t="s">
        <v>260</v>
      </c>
      <c r="G9" t="s">
        <v>159</v>
      </c>
      <c r="H9">
        <f t="shared" si="0"/>
        <v>9</v>
      </c>
      <c r="I9" s="66" t="s">
        <v>199</v>
      </c>
      <c r="J9" s="88" t="s">
        <v>198</v>
      </c>
      <c r="K9" s="88" t="s">
        <v>197</v>
      </c>
      <c r="L9" s="88" t="s">
        <v>196</v>
      </c>
      <c r="M9" s="88" t="s">
        <v>196</v>
      </c>
      <c r="N9" s="88" t="s">
        <v>195</v>
      </c>
    </row>
    <row r="10" spans="1:14" x14ac:dyDescent="0.3">
      <c r="A10" t="s">
        <v>71</v>
      </c>
      <c r="C10" t="s">
        <v>30</v>
      </c>
      <c r="G10" t="s">
        <v>399</v>
      </c>
      <c r="H10">
        <f t="shared" si="0"/>
        <v>10</v>
      </c>
      <c r="I10" s="66" t="s">
        <v>194</v>
      </c>
      <c r="J10" t="s">
        <v>192</v>
      </c>
      <c r="K10" t="s">
        <v>193</v>
      </c>
      <c r="L10" t="s">
        <v>192</v>
      </c>
      <c r="M10" t="s">
        <v>192</v>
      </c>
      <c r="N10" t="s">
        <v>192</v>
      </c>
    </row>
    <row r="11" spans="1:14" x14ac:dyDescent="0.3">
      <c r="G11" t="s">
        <v>223</v>
      </c>
      <c r="H11">
        <f t="shared" si="0"/>
        <v>11</v>
      </c>
      <c r="I11" s="66" t="s">
        <v>205</v>
      </c>
      <c r="J11" t="s">
        <v>206</v>
      </c>
      <c r="K11" t="s">
        <v>126</v>
      </c>
      <c r="L11" t="s">
        <v>126</v>
      </c>
      <c r="M11" t="s">
        <v>126</v>
      </c>
      <c r="N11" t="s">
        <v>126</v>
      </c>
    </row>
    <row r="12" spans="1:14" ht="16.2" x14ac:dyDescent="0.3">
      <c r="G12" t="s">
        <v>328</v>
      </c>
      <c r="H12">
        <f t="shared" si="0"/>
        <v>12</v>
      </c>
      <c r="I12" s="66" t="s">
        <v>261</v>
      </c>
      <c r="L12" t="s">
        <v>267</v>
      </c>
      <c r="M12" t="s">
        <v>292</v>
      </c>
    </row>
    <row r="13" spans="1:14" x14ac:dyDescent="0.3">
      <c r="A13" s="66" t="s">
        <v>188</v>
      </c>
      <c r="C13" s="93">
        <v>45566</v>
      </c>
      <c r="G13" t="str">
        <f>C25&amp;" has not been provided"</f>
        <v>ENG No. has not been provided</v>
      </c>
      <c r="H13">
        <f t="shared" si="0"/>
        <v>13</v>
      </c>
      <c r="I13" s="66" t="s">
        <v>262</v>
      </c>
      <c r="J13" s="67">
        <v>6</v>
      </c>
      <c r="K13" s="67">
        <v>5</v>
      </c>
      <c r="L13" s="67">
        <v>6</v>
      </c>
      <c r="M13" s="67">
        <v>6</v>
      </c>
      <c r="N13" s="67">
        <v>6</v>
      </c>
    </row>
    <row r="14" spans="1:14" x14ac:dyDescent="0.3">
      <c r="A14" s="69" t="s">
        <v>169</v>
      </c>
      <c r="C14" s="70" t="s">
        <v>165</v>
      </c>
      <c r="G14" t="str">
        <f>"Known flooding:  2, 5, 10, 25, 50, or 100-yr discharge &gt; "&amp;C30&amp;"-yr discharge"</f>
        <v>Known flooding:  2, 5, 10, 25, 50, or 100-yr discharge &gt; 0-yr discharge</v>
      </c>
      <c r="H14">
        <f t="shared" si="0"/>
        <v>14</v>
      </c>
      <c r="I14" s="66" t="s">
        <v>326</v>
      </c>
      <c r="J14" s="131"/>
      <c r="K14" s="131"/>
      <c r="L14" s="132" t="s">
        <v>398</v>
      </c>
      <c r="M14" s="132" t="s">
        <v>294</v>
      </c>
      <c r="N14" s="132" t="s">
        <v>295</v>
      </c>
    </row>
    <row r="15" spans="1:14" x14ac:dyDescent="0.3">
      <c r="A15" s="69" t="s">
        <v>5</v>
      </c>
      <c r="C15" s="68">
        <f>HLOOKUP($C$14,$J$1:$N$13,2)</f>
        <v>1.1000000000000001</v>
      </c>
      <c r="D15" s="67" t="str">
        <f>TEXT(C15,"0.00")</f>
        <v>1.10</v>
      </c>
      <c r="G15" t="s">
        <v>383</v>
      </c>
      <c r="H15">
        <f t="shared" si="0"/>
        <v>15</v>
      </c>
      <c r="I15" s="66" t="s">
        <v>325</v>
      </c>
      <c r="J15" t="s">
        <v>330</v>
      </c>
      <c r="K15" t="s">
        <v>327</v>
      </c>
      <c r="L15" t="s">
        <v>330</v>
      </c>
      <c r="M15" t="s">
        <v>330</v>
      </c>
      <c r="N15" t="s">
        <v>330</v>
      </c>
    </row>
    <row r="16" spans="1:14" x14ac:dyDescent="0.3">
      <c r="A16" s="66" t="s">
        <v>6</v>
      </c>
      <c r="C16" s="68">
        <f>HLOOKUP($C$14,$J$1:$N$13,3)</f>
        <v>4.24</v>
      </c>
      <c r="G16" t="str">
        <f>"Drains to adjacent property:  2, 5, 10, 25, 50, or 100-yr discharge &gt; "&amp;C32&amp;"-yr discharge"</f>
        <v>Drains to adjacent property:  2, 5, 10, 25, 50, or 100-yr discharge &gt; 0-yr discharge</v>
      </c>
      <c r="H16">
        <f t="shared" si="0"/>
        <v>16</v>
      </c>
      <c r="I16" s="66" t="s">
        <v>389</v>
      </c>
      <c r="J16" s="67">
        <v>4</v>
      </c>
      <c r="K16" s="67">
        <v>6</v>
      </c>
      <c r="L16" s="67">
        <v>4</v>
      </c>
      <c r="M16" s="67">
        <v>4</v>
      </c>
      <c r="N16" s="67">
        <v>4</v>
      </c>
    </row>
    <row r="17" spans="1:14" x14ac:dyDescent="0.3">
      <c r="A17" s="66" t="s">
        <v>7</v>
      </c>
      <c r="C17" s="68">
        <f>HLOOKUP($C$14,$J$1:$N$13,4)</f>
        <v>5.3</v>
      </c>
      <c r="D17" s="68"/>
      <c r="G17" t="s">
        <v>403</v>
      </c>
      <c r="H17">
        <f t="shared" si="0"/>
        <v>17</v>
      </c>
      <c r="I17" s="66" t="s">
        <v>388</v>
      </c>
      <c r="J17" s="67" t="s">
        <v>154</v>
      </c>
      <c r="K17" s="67" t="s">
        <v>154</v>
      </c>
      <c r="L17" s="67" t="s">
        <v>177</v>
      </c>
      <c r="M17" s="67" t="s">
        <v>154</v>
      </c>
      <c r="N17" s="67" t="s">
        <v>154</v>
      </c>
    </row>
    <row r="18" spans="1:14" x14ac:dyDescent="0.3">
      <c r="A18" s="66" t="s">
        <v>8</v>
      </c>
      <c r="C18" s="68">
        <f>HLOOKUP($C$14,$J$1:$N$13,5)</f>
        <v>6.24</v>
      </c>
      <c r="H18">
        <f t="shared" si="0"/>
        <v>18</v>
      </c>
      <c r="I18" s="66" t="s">
        <v>414</v>
      </c>
      <c r="J18" s="67"/>
      <c r="K18" s="67"/>
      <c r="L18" s="67">
        <v>25</v>
      </c>
      <c r="M18" s="67"/>
      <c r="N18" s="67"/>
    </row>
    <row r="19" spans="1:14" x14ac:dyDescent="0.3">
      <c r="A19" s="66" t="s">
        <v>9</v>
      </c>
      <c r="C19" s="68">
        <f>HLOOKUP($C$14,$J$1:$N$13,6)</f>
        <v>7.64</v>
      </c>
      <c r="H19">
        <f t="shared" si="0"/>
        <v>19</v>
      </c>
      <c r="I19" s="66" t="s">
        <v>415</v>
      </c>
      <c r="J19" s="67" t="s">
        <v>154</v>
      </c>
      <c r="K19" s="67" t="s">
        <v>154</v>
      </c>
      <c r="L19" s="67" t="s">
        <v>177</v>
      </c>
      <c r="M19" s="67" t="s">
        <v>154</v>
      </c>
      <c r="N19" s="67" t="s">
        <v>154</v>
      </c>
    </row>
    <row r="20" spans="1:14" x14ac:dyDescent="0.3">
      <c r="A20" s="66" t="s">
        <v>324</v>
      </c>
      <c r="C20" s="68">
        <f>HLOOKUP($C$14,$J$1:$N$13,7)</f>
        <v>8.8000000000000007</v>
      </c>
      <c r="H20">
        <f t="shared" si="0"/>
        <v>20</v>
      </c>
      <c r="I20" s="66" t="s">
        <v>416</v>
      </c>
      <c r="J20" s="67"/>
      <c r="K20" s="67"/>
      <c r="L20" s="67">
        <v>25</v>
      </c>
      <c r="M20" s="67"/>
      <c r="N20" s="67"/>
    </row>
    <row r="21" spans="1:14" x14ac:dyDescent="0.3">
      <c r="A21" s="66" t="s">
        <v>10</v>
      </c>
      <c r="C21" s="68">
        <f>HLOOKUP($C$14,$J$1:$N$13,8)</f>
        <v>10</v>
      </c>
    </row>
    <row r="22" spans="1:14" x14ac:dyDescent="0.3">
      <c r="A22" s="66" t="s">
        <v>199</v>
      </c>
      <c r="C22" s="89" t="str">
        <f>HLOOKUP($C$14,$J$1:$N$13,9)</f>
        <v>1 October 2015</v>
      </c>
    </row>
    <row r="23" spans="1:14" x14ac:dyDescent="0.3">
      <c r="A23" s="66" t="s">
        <v>204</v>
      </c>
      <c r="C23" s="89" t="str">
        <f>HLOOKUP($C$14,$J$1:$N$13,10)</f>
        <v>City</v>
      </c>
    </row>
    <row r="24" spans="1:14" x14ac:dyDescent="0.3">
      <c r="A24" s="66" t="s">
        <v>205</v>
      </c>
      <c r="C24" s="89" t="str">
        <f>HLOOKUP($C$14,$J$1:$N$13,11)</f>
        <v xml:space="preserve"> O&amp;M Agreement</v>
      </c>
    </row>
    <row r="25" spans="1:14" x14ac:dyDescent="0.3">
      <c r="A25" s="66" t="s">
        <v>261</v>
      </c>
      <c r="C25" t="str">
        <f>HLOOKUP($C$14,$J$1:$N$13,12)</f>
        <v>ENG No.</v>
      </c>
    </row>
    <row r="26" spans="1:14" x14ac:dyDescent="0.3">
      <c r="A26" s="66" t="s">
        <v>262</v>
      </c>
      <c r="C26" s="68">
        <v>5</v>
      </c>
    </row>
    <row r="27" spans="1:14" x14ac:dyDescent="0.3">
      <c r="A27" s="66" t="s">
        <v>293</v>
      </c>
      <c r="C27" s="131" t="str">
        <f>HLOOKUP($C$14,$J$1:$N$14,14)</f>
        <v>30 Septbember</v>
      </c>
    </row>
    <row r="28" spans="1:14" x14ac:dyDescent="0.3">
      <c r="A28" s="66" t="s">
        <v>325</v>
      </c>
      <c r="B28" s="134">
        <f>HLOOKUP($C$14,$J$1:$N$16,16)</f>
        <v>4</v>
      </c>
      <c r="C28" s="131" t="str">
        <f>HLOOKUP($C$14,$J$1:$N$15,15)</f>
        <v>2, 5, 10, and 25</v>
      </c>
    </row>
    <row r="29" spans="1:14" x14ac:dyDescent="0.3">
      <c r="A29" s="66" t="s">
        <v>388</v>
      </c>
      <c r="B29" s="134"/>
      <c r="C29" s="131" t="str">
        <f>HLOOKUP($C$14,$J$1:$N$17,17)</f>
        <v>No</v>
      </c>
    </row>
    <row r="30" spans="1:14" x14ac:dyDescent="0.3">
      <c r="A30" s="66" t="s">
        <v>414</v>
      </c>
      <c r="B30" s="134"/>
      <c r="C30" s="154">
        <f>HLOOKUP($C$14,$J$1:$N$20,18)</f>
        <v>0</v>
      </c>
    </row>
    <row r="31" spans="1:14" x14ac:dyDescent="0.3">
      <c r="A31" s="66" t="s">
        <v>415</v>
      </c>
      <c r="B31" s="134"/>
      <c r="C31" s="131" t="str">
        <f>HLOOKUP($C$14,$J$1:$N$20,19)</f>
        <v>No</v>
      </c>
    </row>
    <row r="32" spans="1:14" x14ac:dyDescent="0.3">
      <c r="A32" s="66" t="s">
        <v>416</v>
      </c>
      <c r="B32" s="134"/>
      <c r="C32" s="154">
        <f>HLOOKUP($C$14,$J$1:$N$20,20)</f>
        <v>0</v>
      </c>
    </row>
    <row r="33" spans="1:5" x14ac:dyDescent="0.3">
      <c r="A33" s="66"/>
      <c r="B33" s="134"/>
      <c r="C33" s="131"/>
    </row>
    <row r="34" spans="1:5" x14ac:dyDescent="0.3">
      <c r="A34" s="66"/>
      <c r="B34" s="134"/>
      <c r="C34" s="131"/>
    </row>
    <row r="35" spans="1:5" x14ac:dyDescent="0.3">
      <c r="E35" s="122" t="s">
        <v>220</v>
      </c>
    </row>
    <row r="36" spans="1:5" ht="64.95" customHeight="1" x14ac:dyDescent="0.3">
      <c r="B36" s="66" t="s">
        <v>166</v>
      </c>
    </row>
    <row r="37" spans="1:5" ht="64.95" customHeight="1" x14ac:dyDescent="0.3">
      <c r="B37" s="66" t="s">
        <v>189</v>
      </c>
    </row>
    <row r="38" spans="1:5" ht="64.95" customHeight="1" x14ac:dyDescent="0.3">
      <c r="B38" s="66" t="s">
        <v>168</v>
      </c>
    </row>
    <row r="39" spans="1:5" ht="64.95" customHeight="1" x14ac:dyDescent="0.3">
      <c r="B39" s="66" t="s">
        <v>165</v>
      </c>
    </row>
    <row r="40" spans="1:5" ht="64.95" customHeight="1" x14ac:dyDescent="0.3">
      <c r="B40" s="66" t="s">
        <v>167</v>
      </c>
    </row>
  </sheetData>
  <sortState xmlns:xlrd2="http://schemas.microsoft.com/office/spreadsheetml/2017/richdata2" ref="A19:C24">
    <sortCondition ref="B19:B24"/>
  </sortState>
  <dataValidations count="1">
    <dataValidation type="list" allowBlank="1" showInputMessage="1" showErrorMessage="1" sqref="C14" xr:uid="{EBBE6338-4834-4C9B-9848-CE10F23E26FB}">
      <formula1>$J$1:$N$1</formula1>
    </dataValidation>
  </dataValidations>
  <pageMargins left="0.7" right="0.7" top="0.75" bottom="0.75" header="0.3" footer="0.3"/>
  <pageSetup orientation="portrait" horizontalDpi="1200" verticalDpi="1200" r:id="rId1"/>
  <drawing r:id="rId2"/>
  <legacyDrawing r:id="rId3"/>
  <tableParts count="4">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390F5-78AD-482F-B053-1304FA695CE7}">
  <sheetPr codeName="Sheet1">
    <tabColor theme="2" tint="-0.499984740745262"/>
    <pageSetUpPr fitToPage="1"/>
  </sheetPr>
  <dimension ref="A1:T57"/>
  <sheetViews>
    <sheetView showGridLines="0" showRowColHeaders="0" tabSelected="1" zoomScale="130" zoomScaleNormal="130" workbookViewId="0">
      <selection activeCell="C1" sqref="C1"/>
    </sheetView>
  </sheetViews>
  <sheetFormatPr defaultColWidth="0" defaultRowHeight="0" customHeight="1" zeroHeight="1" x14ac:dyDescent="0.3"/>
  <cols>
    <col min="1" max="1" width="2.77734375" style="77" customWidth="1"/>
    <col min="2" max="2" width="5.77734375" style="76" customWidth="1"/>
    <col min="3" max="8" width="2.77734375" style="77" customWidth="1"/>
    <col min="9" max="17" width="8.88671875" style="77" customWidth="1"/>
    <col min="18" max="20" width="0" style="77" hidden="1" customWidth="1"/>
    <col min="21" max="16384" width="8.88671875" style="77" hidden="1"/>
  </cols>
  <sheetData>
    <row r="1" spans="2:17" ht="19.95" customHeight="1" x14ac:dyDescent="0.3"/>
    <row r="2" spans="2:17" ht="19.95" customHeight="1" x14ac:dyDescent="0.3">
      <c r="B2" s="78" t="s">
        <v>67</v>
      </c>
    </row>
    <row r="3" spans="2:17" ht="4.95" customHeight="1" x14ac:dyDescent="0.3">
      <c r="B3" s="78"/>
    </row>
    <row r="4" spans="2:17" ht="19.95" customHeight="1" x14ac:dyDescent="0.3">
      <c r="B4" s="76">
        <v>1</v>
      </c>
      <c r="C4" s="166" t="s">
        <v>273</v>
      </c>
      <c r="D4" s="166"/>
      <c r="E4" s="166"/>
      <c r="F4" s="166"/>
      <c r="G4" s="166"/>
      <c r="H4" s="166"/>
      <c r="I4" s="166"/>
      <c r="J4" s="166"/>
      <c r="K4" s="166"/>
      <c r="L4" s="166"/>
      <c r="M4" s="166"/>
      <c r="N4" s="166"/>
      <c r="O4" s="166"/>
      <c r="P4" s="166"/>
      <c r="Q4" s="166"/>
    </row>
    <row r="5" spans="2:17" ht="19.95" customHeight="1" x14ac:dyDescent="0.3">
      <c r="C5" s="166"/>
      <c r="D5" s="166"/>
      <c r="E5" s="166"/>
      <c r="F5" s="166"/>
      <c r="G5" s="166"/>
      <c r="H5" s="166"/>
      <c r="I5" s="166"/>
      <c r="J5" s="166"/>
      <c r="K5" s="166"/>
      <c r="L5" s="166"/>
      <c r="M5" s="166"/>
      <c r="N5" s="166"/>
      <c r="O5" s="166"/>
      <c r="P5" s="166"/>
      <c r="Q5" s="166"/>
    </row>
    <row r="6" spans="2:17" ht="19.95" customHeight="1" x14ac:dyDescent="0.3">
      <c r="B6" s="76">
        <f>B4+1</f>
        <v>2</v>
      </c>
      <c r="C6" s="77" t="s">
        <v>68</v>
      </c>
    </row>
    <row r="7" spans="2:17" ht="19.95" customHeight="1" x14ac:dyDescent="0.3">
      <c r="C7" s="79"/>
      <c r="D7" s="79"/>
      <c r="E7" s="79"/>
      <c r="F7" s="79"/>
      <c r="I7" s="77" t="s">
        <v>66</v>
      </c>
    </row>
    <row r="8" spans="2:17" ht="10.050000000000001" customHeight="1" x14ac:dyDescent="0.3"/>
    <row r="9" spans="2:17" ht="15" customHeight="1" x14ac:dyDescent="0.3">
      <c r="C9" s="80"/>
      <c r="D9" s="80"/>
      <c r="E9" s="80"/>
      <c r="F9" s="80"/>
      <c r="I9" s="165" t="s">
        <v>226</v>
      </c>
      <c r="J9" s="165"/>
      <c r="K9" s="165"/>
      <c r="L9" s="165"/>
      <c r="M9" s="165"/>
      <c r="N9" s="165"/>
      <c r="O9" s="165"/>
      <c r="P9" s="165"/>
      <c r="Q9" s="165"/>
    </row>
    <row r="10" spans="2:17" ht="15" customHeight="1" x14ac:dyDescent="0.3">
      <c r="I10" s="165"/>
      <c r="J10" s="165"/>
      <c r="K10" s="165"/>
      <c r="L10" s="165"/>
      <c r="M10" s="165"/>
      <c r="N10" s="165"/>
      <c r="O10" s="165"/>
      <c r="P10" s="165"/>
      <c r="Q10" s="165"/>
    </row>
    <row r="11" spans="2:17" ht="10.050000000000001" customHeight="1" x14ac:dyDescent="0.3">
      <c r="I11" s="81"/>
      <c r="J11" s="81"/>
      <c r="K11" s="81"/>
      <c r="L11" s="81"/>
      <c r="M11" s="81"/>
      <c r="N11" s="81"/>
      <c r="O11" s="81"/>
      <c r="P11" s="81"/>
      <c r="Q11" s="81"/>
    </row>
    <row r="12" spans="2:17" ht="15" customHeight="1" x14ac:dyDescent="0.3">
      <c r="F12" s="63"/>
      <c r="I12" s="165" t="s">
        <v>281</v>
      </c>
      <c r="J12" s="165"/>
      <c r="K12" s="165"/>
      <c r="L12" s="165"/>
      <c r="M12" s="165"/>
      <c r="N12" s="165"/>
      <c r="O12" s="165"/>
      <c r="P12" s="165"/>
      <c r="Q12" s="165"/>
    </row>
    <row r="13" spans="2:17" ht="15" customHeight="1" x14ac:dyDescent="0.3">
      <c r="I13" s="165"/>
      <c r="J13" s="165"/>
      <c r="K13" s="165"/>
      <c r="L13" s="165"/>
      <c r="M13" s="165"/>
      <c r="N13" s="165"/>
      <c r="O13" s="165"/>
      <c r="P13" s="165"/>
      <c r="Q13" s="165"/>
    </row>
    <row r="14" spans="2:17" ht="15" customHeight="1" x14ac:dyDescent="0.3">
      <c r="I14" s="165"/>
      <c r="J14" s="165"/>
      <c r="K14" s="165"/>
      <c r="L14" s="165"/>
      <c r="M14" s="165"/>
      <c r="N14" s="165"/>
      <c r="O14" s="165"/>
      <c r="P14" s="165"/>
      <c r="Q14" s="165"/>
    </row>
    <row r="15" spans="2:17" ht="15" customHeight="1" x14ac:dyDescent="0.3">
      <c r="I15" s="165"/>
      <c r="J15" s="165"/>
      <c r="K15" s="165"/>
      <c r="L15" s="165"/>
      <c r="M15" s="165"/>
      <c r="N15" s="165"/>
      <c r="O15" s="165"/>
      <c r="P15" s="165"/>
      <c r="Q15" s="165"/>
    </row>
    <row r="16" spans="2:17" ht="10.050000000000001" customHeight="1" x14ac:dyDescent="0.3">
      <c r="I16" s="82"/>
      <c r="J16" s="82"/>
      <c r="K16" s="82"/>
      <c r="L16" s="82"/>
      <c r="M16" s="82"/>
      <c r="N16" s="82"/>
      <c r="O16" s="82"/>
      <c r="P16" s="82"/>
      <c r="Q16" s="82"/>
    </row>
    <row r="17" spans="3:17" ht="15" customHeight="1" x14ac:dyDescent="0.3">
      <c r="C17" s="63"/>
      <c r="D17" s="4" t="s">
        <v>129</v>
      </c>
      <c r="E17" s="4"/>
      <c r="F17" s="63"/>
      <c r="G17" s="4" t="s">
        <v>130</v>
      </c>
      <c r="I17" s="165" t="s">
        <v>180</v>
      </c>
      <c r="J17" s="165"/>
      <c r="K17" s="165"/>
      <c r="L17" s="165"/>
      <c r="M17" s="165"/>
      <c r="N17" s="165"/>
      <c r="O17" s="165"/>
      <c r="P17" s="165"/>
      <c r="Q17" s="165"/>
    </row>
    <row r="18" spans="3:17" ht="15" customHeight="1" x14ac:dyDescent="0.3">
      <c r="I18" s="165"/>
      <c r="J18" s="165"/>
      <c r="K18" s="165"/>
      <c r="L18" s="165"/>
      <c r="M18" s="165"/>
      <c r="N18" s="165"/>
      <c r="O18" s="165"/>
      <c r="P18" s="165"/>
      <c r="Q18" s="165"/>
    </row>
    <row r="19" spans="3:17" ht="10.050000000000001" customHeight="1" x14ac:dyDescent="0.3"/>
    <row r="20" spans="3:17" ht="15" customHeight="1" x14ac:dyDescent="0.3">
      <c r="C20" s="83"/>
      <c r="D20" s="83"/>
      <c r="E20" s="83"/>
      <c r="F20" s="83"/>
      <c r="I20" s="165" t="s">
        <v>221</v>
      </c>
      <c r="J20" s="165"/>
      <c r="K20" s="165"/>
      <c r="L20" s="165"/>
      <c r="M20" s="165"/>
      <c r="N20" s="165"/>
      <c r="O20" s="165"/>
      <c r="P20" s="165"/>
      <c r="Q20" s="165"/>
    </row>
    <row r="21" spans="3:17" ht="15" customHeight="1" x14ac:dyDescent="0.3">
      <c r="I21" s="165"/>
      <c r="J21" s="165"/>
      <c r="K21" s="165"/>
      <c r="L21" s="165"/>
      <c r="M21" s="165"/>
      <c r="N21" s="165"/>
      <c r="O21" s="165"/>
      <c r="P21" s="165"/>
      <c r="Q21" s="165"/>
    </row>
    <row r="22" spans="3:17" ht="15" customHeight="1" x14ac:dyDescent="0.3">
      <c r="I22" s="165"/>
      <c r="J22" s="165"/>
      <c r="K22" s="165"/>
      <c r="L22" s="165"/>
      <c r="M22" s="165"/>
      <c r="N22" s="165"/>
      <c r="O22" s="165"/>
      <c r="P22" s="165"/>
      <c r="Q22" s="165"/>
    </row>
    <row r="23" spans="3:17" ht="19.95" customHeight="1" x14ac:dyDescent="0.3">
      <c r="I23" s="165"/>
      <c r="J23" s="165"/>
      <c r="K23" s="165"/>
      <c r="L23" s="165"/>
      <c r="M23" s="165"/>
      <c r="N23" s="165"/>
      <c r="O23" s="165"/>
      <c r="P23" s="165"/>
      <c r="Q23" s="165"/>
    </row>
    <row r="24" spans="3:17" ht="10.050000000000001" customHeight="1" x14ac:dyDescent="0.3">
      <c r="I24" s="82"/>
      <c r="J24" s="82"/>
      <c r="K24" s="82"/>
      <c r="L24" s="82"/>
      <c r="M24" s="82"/>
      <c r="N24" s="82"/>
      <c r="O24" s="82"/>
      <c r="P24" s="82"/>
      <c r="Q24" s="82"/>
    </row>
    <row r="25" spans="3:17" ht="15" customHeight="1" x14ac:dyDescent="0.3">
      <c r="C25" s="84"/>
      <c r="D25" s="84"/>
      <c r="E25" s="84"/>
      <c r="F25" s="84"/>
      <c r="I25" s="165" t="s">
        <v>120</v>
      </c>
      <c r="J25" s="165"/>
      <c r="K25" s="165"/>
      <c r="L25" s="165"/>
      <c r="M25" s="165"/>
      <c r="N25" s="165"/>
      <c r="O25" s="165"/>
      <c r="P25" s="165"/>
      <c r="Q25" s="165"/>
    </row>
    <row r="26" spans="3:17" ht="15" customHeight="1" x14ac:dyDescent="0.3">
      <c r="I26" s="165"/>
      <c r="J26" s="165"/>
      <c r="K26" s="165"/>
      <c r="L26" s="165"/>
      <c r="M26" s="165"/>
      <c r="N26" s="165"/>
      <c r="O26" s="165"/>
      <c r="P26" s="165"/>
      <c r="Q26" s="165"/>
    </row>
    <row r="27" spans="3:17" ht="10.050000000000001" customHeight="1" x14ac:dyDescent="0.3"/>
    <row r="28" spans="3:17" ht="19.95" customHeight="1" x14ac:dyDescent="0.3">
      <c r="C28" s="85" t="s">
        <v>31</v>
      </c>
      <c r="D28" s="85"/>
      <c r="E28" s="85"/>
      <c r="F28" s="85"/>
      <c r="I28" s="77" t="s">
        <v>272</v>
      </c>
    </row>
    <row r="29" spans="3:17" ht="10.050000000000001" customHeight="1" x14ac:dyDescent="0.3"/>
    <row r="30" spans="3:17" ht="19.95" customHeight="1" x14ac:dyDescent="0.3">
      <c r="C30" s="9" t="s">
        <v>33</v>
      </c>
      <c r="D30" s="9"/>
      <c r="E30" s="9"/>
      <c r="F30" s="9"/>
      <c r="I30" s="77" t="s">
        <v>70</v>
      </c>
    </row>
    <row r="31" spans="3:17" ht="10.050000000000001" customHeight="1" x14ac:dyDescent="0.3"/>
    <row r="32" spans="3:17" ht="19.95" customHeight="1" x14ac:dyDescent="0.3">
      <c r="C32" s="9" t="s">
        <v>23</v>
      </c>
      <c r="D32" s="9"/>
      <c r="E32" s="9"/>
      <c r="F32" s="9"/>
      <c r="I32" s="77" t="s">
        <v>121</v>
      </c>
    </row>
    <row r="33" spans="2:17" ht="10.050000000000001" customHeight="1" x14ac:dyDescent="0.3"/>
    <row r="34" spans="2:17" ht="19.95" customHeight="1" x14ac:dyDescent="0.3">
      <c r="B34" s="76">
        <f>B6+1</f>
        <v>3</v>
      </c>
      <c r="C34" s="77" t="s">
        <v>181</v>
      </c>
    </row>
    <row r="35" spans="2:17" ht="19.95" customHeight="1" x14ac:dyDescent="0.3">
      <c r="B35" s="76">
        <f>B34+1</f>
        <v>4</v>
      </c>
      <c r="C35" s="165" t="s">
        <v>182</v>
      </c>
      <c r="D35" s="165"/>
      <c r="E35" s="165"/>
      <c r="F35" s="165"/>
      <c r="G35" s="165"/>
      <c r="H35" s="165"/>
      <c r="I35" s="165"/>
      <c r="J35" s="165"/>
      <c r="K35" s="165"/>
      <c r="L35" s="165"/>
      <c r="M35" s="165"/>
      <c r="N35" s="165"/>
      <c r="O35" s="165"/>
      <c r="P35" s="165"/>
      <c r="Q35" s="165"/>
    </row>
    <row r="36" spans="2:17" ht="15" customHeight="1" x14ac:dyDescent="0.3">
      <c r="C36" s="165"/>
      <c r="D36" s="165"/>
      <c r="E36" s="165"/>
      <c r="F36" s="165"/>
      <c r="G36" s="165"/>
      <c r="H36" s="165"/>
      <c r="I36" s="165"/>
      <c r="J36" s="165"/>
      <c r="K36" s="165"/>
      <c r="L36" s="165"/>
      <c r="M36" s="165"/>
      <c r="N36" s="165"/>
      <c r="O36" s="165"/>
      <c r="P36" s="165"/>
      <c r="Q36" s="165"/>
    </row>
    <row r="37" spans="2:17" ht="19.95" customHeight="1" x14ac:dyDescent="0.3">
      <c r="B37" s="76">
        <v>5</v>
      </c>
      <c r="C37" s="166" t="s">
        <v>183</v>
      </c>
      <c r="D37" s="166"/>
      <c r="E37" s="166"/>
      <c r="F37" s="166"/>
      <c r="G37" s="166"/>
      <c r="H37" s="166"/>
      <c r="I37" s="166"/>
      <c r="J37" s="166"/>
      <c r="K37" s="166"/>
      <c r="L37" s="166"/>
      <c r="M37" s="166"/>
      <c r="N37" s="166"/>
      <c r="O37" s="166"/>
      <c r="P37" s="166"/>
      <c r="Q37" s="166"/>
    </row>
    <row r="38" spans="2:17" ht="19.95" customHeight="1" x14ac:dyDescent="0.3">
      <c r="C38" s="166"/>
      <c r="D38" s="166"/>
      <c r="E38" s="166"/>
      <c r="F38" s="166"/>
      <c r="G38" s="166"/>
      <c r="H38" s="166"/>
      <c r="I38" s="166"/>
      <c r="J38" s="166"/>
      <c r="K38" s="166"/>
      <c r="L38" s="166"/>
      <c r="M38" s="166"/>
      <c r="N38" s="166"/>
      <c r="O38" s="166"/>
      <c r="P38" s="166"/>
      <c r="Q38" s="166"/>
    </row>
    <row r="39" spans="2:17" ht="12" customHeight="1" x14ac:dyDescent="0.3">
      <c r="C39" s="166"/>
      <c r="D39" s="166"/>
      <c r="E39" s="166"/>
      <c r="F39" s="166"/>
      <c r="G39" s="166"/>
      <c r="H39" s="166"/>
      <c r="I39" s="166"/>
      <c r="J39" s="166"/>
      <c r="K39" s="166"/>
      <c r="L39" s="166"/>
      <c r="M39" s="166"/>
      <c r="N39" s="166"/>
      <c r="O39" s="166"/>
      <c r="P39" s="166"/>
      <c r="Q39" s="166"/>
    </row>
    <row r="40" spans="2:17" ht="19.95" customHeight="1" x14ac:dyDescent="0.3">
      <c r="B40" s="76">
        <v>6</v>
      </c>
      <c r="C40" s="77" t="s">
        <v>212</v>
      </c>
    </row>
    <row r="41" spans="2:17" ht="19.95" customHeight="1" x14ac:dyDescent="0.3"/>
    <row r="42" spans="2:17" ht="19.95" customHeight="1" x14ac:dyDescent="0.3"/>
    <row r="43" spans="2:17" ht="19.95" customHeight="1" x14ac:dyDescent="0.3"/>
    <row r="44" spans="2:17" ht="19.95" customHeight="1" x14ac:dyDescent="0.3"/>
    <row r="45" spans="2:17" ht="19.95" customHeight="1" x14ac:dyDescent="0.3"/>
    <row r="46" spans="2:17" ht="19.95" customHeight="1" x14ac:dyDescent="0.3"/>
    <row r="47" spans="2:17" ht="19.95" customHeight="1" x14ac:dyDescent="0.3"/>
    <row r="48" spans="2:17"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sheetData>
  <sheetProtection algorithmName="SHA-512" hashValue="4M5OEph2dFdPWwZnD0jK1/7xBy7di6jyZFpQFtYxjuJcl2uST/Oc2358OQ/DBUS5Cn59p2UteoO+kZHU2Mgnzw==" saltValue="Iw6e92Gt2TKs/AhHIlclvQ==" spinCount="100000" sheet="1" objects="1" scenarios="1" selectLockedCells="1"/>
  <mergeCells count="8">
    <mergeCell ref="C35:Q36"/>
    <mergeCell ref="C37:Q39"/>
    <mergeCell ref="C4:Q5"/>
    <mergeCell ref="I9:Q10"/>
    <mergeCell ref="I12:Q15"/>
    <mergeCell ref="I17:Q18"/>
    <mergeCell ref="I20:Q23"/>
    <mergeCell ref="I25:Q26"/>
  </mergeCells>
  <conditionalFormatting sqref="C17">
    <cfRule type="expression" dxfId="304" priority="2">
      <formula>ISBLANK(C17)</formula>
    </cfRule>
  </conditionalFormatting>
  <conditionalFormatting sqref="C9:F9">
    <cfRule type="expression" dxfId="303" priority="4">
      <formula>ISBLANK(C9)</formula>
    </cfRule>
  </conditionalFormatting>
  <conditionalFormatting sqref="F12">
    <cfRule type="expression" dxfId="302" priority="3">
      <formula>ISBLANK(F12)</formula>
    </cfRule>
  </conditionalFormatting>
  <conditionalFormatting sqref="F17">
    <cfRule type="expression" dxfId="301" priority="1">
      <formula>ISBLANK(F17)</formula>
    </cfRule>
  </conditionalFormatting>
  <pageMargins left="0.2" right="0.2" top="0.5" bottom="0.25" header="0.3" footer="0.3"/>
  <pageSetup scale="9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BCFA-678D-4F47-972D-31E458267710}">
  <sheetPr codeName="Sheet5">
    <tabColor theme="9" tint="0.39997558519241921"/>
  </sheetPr>
  <dimension ref="A1:CA206"/>
  <sheetViews>
    <sheetView showGridLines="0" showRowColHeaders="0" showZeros="0" zoomScale="150" zoomScaleNormal="150" workbookViewId="0">
      <selection activeCell="E13" sqref="E13:X13"/>
    </sheetView>
  </sheetViews>
  <sheetFormatPr defaultColWidth="0" defaultRowHeight="0" customHeight="1" zeroHeight="1" x14ac:dyDescent="0.3"/>
  <cols>
    <col min="1" max="1" width="1.77734375" style="4" customWidth="1"/>
    <col min="2" max="37" width="2.77734375" style="4" customWidth="1"/>
    <col min="38" max="38" width="10.33203125" style="56" hidden="1" customWidth="1"/>
    <col min="39" max="39" width="11" style="56" hidden="1" customWidth="1"/>
    <col min="40" max="42" width="9.21875" style="56" hidden="1" customWidth="1"/>
    <col min="43" max="43" width="8.77734375" style="56" hidden="1" customWidth="1"/>
    <col min="44" max="44" width="2.77734375" style="4" customWidth="1"/>
    <col min="45" max="45" width="3.77734375" style="4" customWidth="1"/>
    <col min="46" max="79" width="2.77734375" style="4" customWidth="1"/>
    <col min="80" max="16384" width="8.88671875" style="4" hidden="1"/>
  </cols>
  <sheetData>
    <row r="1" spans="1:79" ht="15" customHeight="1" x14ac:dyDescent="0.3">
      <c r="Q1" s="5"/>
      <c r="R1" s="5"/>
      <c r="S1" s="5"/>
      <c r="T1" s="5"/>
      <c r="V1" s="23"/>
      <c r="W1" s="201" t="s">
        <v>355</v>
      </c>
      <c r="X1" s="201"/>
      <c r="Y1" s="201"/>
      <c r="Z1" s="201"/>
      <c r="AA1" s="201"/>
      <c r="AB1" s="201"/>
      <c r="AC1" s="201"/>
      <c r="AD1" s="201"/>
      <c r="AE1" s="201"/>
      <c r="AF1" s="201"/>
      <c r="AG1" s="201"/>
      <c r="AH1" s="201"/>
      <c r="AI1" s="201"/>
      <c r="AJ1" s="201"/>
      <c r="AK1" s="201"/>
      <c r="AL1" s="58"/>
      <c r="AM1" s="58"/>
      <c r="AN1" s="58"/>
      <c r="AO1" s="58"/>
      <c r="AP1" s="58"/>
      <c r="AQ1" s="58"/>
      <c r="BG1" s="201" t="str">
        <f>W1</f>
        <v>Form 2A.1 - Detention Pond
Design Form</v>
      </c>
      <c r="BH1" s="201"/>
      <c r="BI1" s="201"/>
      <c r="BJ1" s="201"/>
      <c r="BK1" s="201"/>
      <c r="BL1" s="201"/>
      <c r="BM1" s="201"/>
      <c r="BN1" s="201"/>
      <c r="BO1" s="201"/>
      <c r="BP1" s="201"/>
      <c r="BQ1" s="201"/>
      <c r="BR1" s="201"/>
      <c r="BS1" s="201"/>
      <c r="BT1" s="201"/>
      <c r="BU1" s="201"/>
      <c r="BV1" s="201"/>
      <c r="BW1" s="201"/>
      <c r="BX1" s="201"/>
      <c r="BY1" s="201"/>
      <c r="BZ1" s="201"/>
    </row>
    <row r="2" spans="1:79" ht="15" customHeight="1" x14ac:dyDescent="0.3">
      <c r="K2" s="5"/>
      <c r="Q2" s="5"/>
      <c r="R2" s="5"/>
      <c r="S2" s="5"/>
      <c r="T2" s="5"/>
      <c r="U2" s="23"/>
      <c r="V2" s="23"/>
      <c r="W2" s="201"/>
      <c r="X2" s="201"/>
      <c r="Y2" s="201"/>
      <c r="Z2" s="201"/>
      <c r="AA2" s="201"/>
      <c r="AB2" s="201"/>
      <c r="AC2" s="201"/>
      <c r="AD2" s="201"/>
      <c r="AE2" s="201"/>
      <c r="AF2" s="201"/>
      <c r="AG2" s="201"/>
      <c r="AH2" s="201"/>
      <c r="AI2" s="201"/>
      <c r="AJ2" s="201"/>
      <c r="AK2" s="201"/>
      <c r="AL2" s="58"/>
      <c r="AM2" s="58"/>
      <c r="AN2" s="58"/>
      <c r="AO2" s="58"/>
      <c r="AP2" s="58"/>
      <c r="AQ2" s="58"/>
      <c r="BG2" s="201"/>
      <c r="BH2" s="201"/>
      <c r="BI2" s="201"/>
      <c r="BJ2" s="201"/>
      <c r="BK2" s="201"/>
      <c r="BL2" s="201"/>
      <c r="BM2" s="201"/>
      <c r="BN2" s="201"/>
      <c r="BO2" s="201"/>
      <c r="BP2" s="201"/>
      <c r="BQ2" s="201"/>
      <c r="BR2" s="201"/>
      <c r="BS2" s="201"/>
      <c r="BT2" s="201"/>
      <c r="BU2" s="201"/>
      <c r="BV2" s="201"/>
      <c r="BW2" s="201"/>
      <c r="BX2" s="201"/>
      <c r="BY2" s="201"/>
      <c r="BZ2" s="201"/>
    </row>
    <row r="3" spans="1:79" ht="15" customHeight="1" x14ac:dyDescent="0.3">
      <c r="K3" s="5"/>
      <c r="L3" s="5"/>
      <c r="M3" s="5"/>
      <c r="N3" s="5"/>
      <c r="O3" s="5"/>
      <c r="P3" s="5"/>
      <c r="Q3" s="5"/>
      <c r="R3" s="5"/>
      <c r="S3" s="5"/>
      <c r="T3" s="5"/>
      <c r="U3" s="23"/>
      <c r="V3" s="23"/>
      <c r="W3" s="201"/>
      <c r="X3" s="201"/>
      <c r="Y3" s="201"/>
      <c r="Z3" s="201"/>
      <c r="AA3" s="201"/>
      <c r="AB3" s="201"/>
      <c r="AC3" s="201"/>
      <c r="AD3" s="201"/>
      <c r="AE3" s="201"/>
      <c r="AF3" s="201"/>
      <c r="AG3" s="201"/>
      <c r="AH3" s="201"/>
      <c r="AI3" s="201"/>
      <c r="AJ3" s="201"/>
      <c r="AK3" s="201"/>
      <c r="AL3" s="58"/>
      <c r="AM3" s="58"/>
      <c r="AN3" s="58"/>
      <c r="AO3" s="58"/>
      <c r="AP3" s="58"/>
      <c r="AQ3" s="58"/>
      <c r="BG3" s="201"/>
      <c r="BH3" s="201"/>
      <c r="BI3" s="201"/>
      <c r="BJ3" s="201"/>
      <c r="BK3" s="201"/>
      <c r="BL3" s="201"/>
      <c r="BM3" s="201"/>
      <c r="BN3" s="201"/>
      <c r="BO3" s="201"/>
      <c r="BP3" s="201"/>
      <c r="BQ3" s="201"/>
      <c r="BR3" s="201"/>
      <c r="BS3" s="201"/>
      <c r="BT3" s="201"/>
      <c r="BU3" s="201"/>
      <c r="BV3" s="201"/>
      <c r="BW3" s="201"/>
      <c r="BX3" s="201"/>
      <c r="BY3" s="201"/>
      <c r="BZ3" s="201"/>
    </row>
    <row r="4" spans="1:79" ht="15" customHeight="1" x14ac:dyDescent="0.3">
      <c r="K4" s="5"/>
      <c r="L4" s="5"/>
      <c r="M4" s="5"/>
      <c r="N4" s="5"/>
      <c r="O4" s="5"/>
      <c r="P4" s="5"/>
      <c r="Q4" s="5"/>
      <c r="R4" s="5"/>
      <c r="S4" s="5"/>
      <c r="T4" s="5"/>
      <c r="U4" s="23"/>
      <c r="V4" s="23"/>
      <c r="W4" s="201"/>
      <c r="X4" s="201"/>
      <c r="Y4" s="201"/>
      <c r="Z4" s="201"/>
      <c r="AA4" s="201"/>
      <c r="AB4" s="201"/>
      <c r="AC4" s="201"/>
      <c r="AD4" s="201"/>
      <c r="AE4" s="201"/>
      <c r="AF4" s="201"/>
      <c r="AG4" s="201"/>
      <c r="AH4" s="201"/>
      <c r="AI4" s="201"/>
      <c r="AJ4" s="201"/>
      <c r="AK4" s="201"/>
      <c r="AL4" s="58"/>
      <c r="AM4" s="58"/>
      <c r="AN4" s="58"/>
      <c r="AO4" s="58"/>
      <c r="AP4" s="58"/>
      <c r="AQ4" s="58"/>
      <c r="BG4" s="201"/>
      <c r="BH4" s="201"/>
      <c r="BI4" s="201"/>
      <c r="BJ4" s="201"/>
      <c r="BK4" s="201"/>
      <c r="BL4" s="201"/>
      <c r="BM4" s="201"/>
      <c r="BN4" s="201"/>
      <c r="BO4" s="201"/>
      <c r="BP4" s="201"/>
      <c r="BQ4" s="201"/>
      <c r="BR4" s="201"/>
      <c r="BS4" s="201"/>
      <c r="BT4" s="201"/>
      <c r="BU4" s="201"/>
      <c r="BV4" s="201"/>
      <c r="BW4" s="201"/>
      <c r="BX4" s="201"/>
      <c r="BY4" s="201"/>
      <c r="BZ4" s="201"/>
    </row>
    <row r="5" spans="1:79" ht="4.95" customHeight="1" x14ac:dyDescent="0.3">
      <c r="K5" s="5"/>
      <c r="L5" s="5"/>
      <c r="M5" s="5"/>
      <c r="N5" s="5"/>
      <c r="O5" s="5"/>
      <c r="P5" s="5"/>
      <c r="Q5" s="5"/>
      <c r="R5" s="5"/>
      <c r="S5" s="5"/>
      <c r="T5" s="5"/>
      <c r="U5" s="11"/>
      <c r="V5" s="11"/>
      <c r="W5" s="11"/>
      <c r="X5" s="11"/>
      <c r="Y5" s="11"/>
      <c r="Z5" s="11"/>
      <c r="AA5" s="11"/>
      <c r="AB5" s="11"/>
      <c r="AC5" s="11"/>
      <c r="AD5" s="11"/>
      <c r="AE5" s="11"/>
      <c r="AF5" s="11"/>
      <c r="AG5" s="11"/>
      <c r="AH5" s="11"/>
      <c r="AI5" s="11"/>
      <c r="AJ5" s="11"/>
      <c r="AK5" s="11"/>
      <c r="AL5" s="58"/>
      <c r="AM5" s="58"/>
      <c r="AN5" s="58"/>
      <c r="AO5" s="58"/>
      <c r="AP5" s="58"/>
      <c r="AQ5" s="58"/>
    </row>
    <row r="6" spans="1:79" ht="15" customHeight="1" x14ac:dyDescent="0.3">
      <c r="A6" s="24"/>
      <c r="B6" s="25" t="s">
        <v>122</v>
      </c>
      <c r="C6" s="25"/>
      <c r="D6" s="25"/>
      <c r="E6" s="25"/>
      <c r="F6" s="25"/>
      <c r="G6" s="25"/>
      <c r="H6" s="25"/>
      <c r="I6" s="25"/>
      <c r="J6" s="25"/>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7"/>
      <c r="AL6" s="58"/>
      <c r="AM6" s="58"/>
      <c r="AN6" s="58"/>
      <c r="AO6" s="58"/>
      <c r="AP6" s="58"/>
      <c r="AQ6" s="58"/>
      <c r="AS6" s="205" t="s">
        <v>69</v>
      </c>
      <c r="AT6" s="205"/>
      <c r="AU6" s="205"/>
      <c r="AV6" s="205"/>
      <c r="AW6" s="205"/>
      <c r="AX6" s="205"/>
      <c r="AY6" s="205"/>
      <c r="AZ6" s="205"/>
      <c r="BA6" s="205"/>
      <c r="BB6" s="205"/>
      <c r="BC6" s="205"/>
      <c r="BD6" s="205"/>
      <c r="BE6" s="205"/>
      <c r="BF6" s="205"/>
      <c r="BG6" s="71"/>
      <c r="BH6" s="71"/>
      <c r="BI6" s="71"/>
      <c r="BJ6" s="71"/>
      <c r="BK6" s="71"/>
      <c r="BL6" s="71"/>
      <c r="BM6" s="71"/>
      <c r="BN6" s="71"/>
      <c r="BO6" s="71"/>
      <c r="BP6" s="71"/>
      <c r="BQ6" s="71"/>
      <c r="BR6" s="71"/>
      <c r="BS6" s="71"/>
      <c r="BT6" s="71"/>
      <c r="BU6" s="71"/>
      <c r="BV6" s="71"/>
      <c r="BW6" s="71"/>
      <c r="BX6" s="71"/>
      <c r="BY6" s="71"/>
      <c r="BZ6" s="71"/>
      <c r="CA6" s="71"/>
    </row>
    <row r="7" spans="1:79" ht="15" customHeight="1" x14ac:dyDescent="0.3">
      <c r="A7" s="28"/>
      <c r="B7" s="29" t="s">
        <v>59</v>
      </c>
      <c r="C7" s="29"/>
      <c r="D7" s="29"/>
      <c r="E7" s="29"/>
      <c r="F7" s="206"/>
      <c r="G7" s="206"/>
      <c r="H7" s="206"/>
      <c r="I7" s="206"/>
      <c r="J7" s="206"/>
      <c r="K7" s="206"/>
      <c r="L7" s="206"/>
      <c r="M7" s="206"/>
      <c r="N7" s="206"/>
      <c r="O7" s="206"/>
      <c r="P7" s="206"/>
      <c r="Q7" s="206"/>
      <c r="R7" s="206"/>
      <c r="S7" s="206"/>
      <c r="T7" s="206"/>
      <c r="U7" s="206"/>
      <c r="V7" s="206"/>
      <c r="W7" s="206"/>
      <c r="X7" s="206"/>
      <c r="Y7" s="206"/>
      <c r="Z7" s="206"/>
      <c r="AA7" s="29"/>
      <c r="AB7" s="29"/>
      <c r="AC7" s="29"/>
      <c r="AD7" s="29"/>
      <c r="AE7" s="30" t="s">
        <v>20</v>
      </c>
      <c r="AF7" s="33"/>
      <c r="AG7" s="33"/>
      <c r="AH7" s="33"/>
      <c r="AI7" s="33"/>
      <c r="AJ7" s="33"/>
      <c r="AK7" s="31"/>
      <c r="AL7" s="58"/>
      <c r="AM7" s="58"/>
      <c r="AN7" s="58"/>
      <c r="AO7" s="58"/>
      <c r="AP7" s="58"/>
      <c r="AQ7" s="58"/>
      <c r="AS7" s="205"/>
      <c r="AT7" s="205"/>
      <c r="AU7" s="205"/>
      <c r="AV7" s="205"/>
      <c r="AW7" s="205"/>
      <c r="AX7" s="205"/>
      <c r="AY7" s="205"/>
      <c r="AZ7" s="205"/>
      <c r="BA7" s="205"/>
      <c r="BB7" s="205"/>
      <c r="BC7" s="205"/>
      <c r="BD7" s="205"/>
      <c r="BE7" s="205"/>
      <c r="BF7" s="205"/>
      <c r="BG7" s="71"/>
      <c r="BH7" s="71"/>
      <c r="BI7" s="71"/>
      <c r="BJ7" s="71"/>
      <c r="BK7" s="71"/>
      <c r="BL7" s="71"/>
      <c r="BM7" s="71"/>
      <c r="BN7" s="71"/>
      <c r="BO7" s="71"/>
      <c r="BP7" s="71"/>
      <c r="BQ7" s="71"/>
      <c r="BR7" s="71"/>
      <c r="BS7" s="71"/>
      <c r="BT7" s="71"/>
      <c r="BU7" s="71"/>
      <c r="BV7" s="71"/>
      <c r="BW7" s="71"/>
      <c r="BX7" s="71"/>
      <c r="BY7" s="71"/>
      <c r="BZ7" s="71"/>
      <c r="CA7" s="71"/>
    </row>
    <row r="8" spans="1:79" ht="4.95" customHeight="1" x14ac:dyDescent="0.3">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30"/>
      <c r="AF8" s="30"/>
      <c r="AG8" s="30"/>
      <c r="AH8" s="30"/>
      <c r="AI8" s="54"/>
      <c r="AJ8" s="54"/>
      <c r="AK8" s="31"/>
      <c r="AL8" s="58"/>
      <c r="AM8" s="58"/>
      <c r="AN8" s="58"/>
      <c r="AO8" s="58"/>
      <c r="AP8" s="58"/>
      <c r="AQ8" s="58"/>
    </row>
    <row r="9" spans="1:79" ht="15" customHeight="1" x14ac:dyDescent="0.3">
      <c r="A9" s="28"/>
      <c r="B9" s="29" t="s">
        <v>21</v>
      </c>
      <c r="C9" s="29"/>
      <c r="D9" s="29"/>
      <c r="E9" s="29"/>
      <c r="F9" s="29"/>
      <c r="G9" s="55"/>
      <c r="H9" s="29" t="s">
        <v>131</v>
      </c>
      <c r="I9" s="29"/>
      <c r="J9" s="29"/>
      <c r="K9" s="29"/>
      <c r="L9" s="29"/>
      <c r="M9" s="29"/>
      <c r="N9" s="55"/>
      <c r="O9" s="29" t="s">
        <v>132</v>
      </c>
      <c r="P9" s="29"/>
      <c r="Q9" s="29"/>
      <c r="R9" s="29"/>
      <c r="S9" s="29"/>
      <c r="T9" s="29"/>
      <c r="U9" s="29"/>
      <c r="V9" s="29"/>
      <c r="W9" s="29"/>
      <c r="X9" s="55"/>
      <c r="Y9" s="29" t="s">
        <v>133</v>
      </c>
      <c r="Z9" s="29"/>
      <c r="AA9" s="29"/>
      <c r="AB9" s="29"/>
      <c r="AC9" s="29"/>
      <c r="AD9" s="55"/>
      <c r="AE9" s="29" t="s">
        <v>134</v>
      </c>
      <c r="AF9" s="29"/>
      <c r="AG9" s="29"/>
      <c r="AH9" s="29"/>
      <c r="AI9" s="29"/>
      <c r="AJ9" s="29"/>
      <c r="AK9" s="31"/>
      <c r="AL9" s="58"/>
      <c r="AM9" s="58"/>
      <c r="AN9" s="58"/>
      <c r="AO9" s="58"/>
      <c r="AP9" s="58"/>
      <c r="AQ9" s="58"/>
      <c r="AS9" s="22" t="s">
        <v>123</v>
      </c>
      <c r="AU9" s="22"/>
      <c r="AV9" s="22"/>
      <c r="AW9" s="22"/>
      <c r="AX9" s="22"/>
      <c r="AY9" s="22"/>
      <c r="AZ9" s="22"/>
      <c r="BA9" s="22"/>
      <c r="BB9" s="22"/>
      <c r="BC9" s="22"/>
      <c r="BD9" s="22"/>
      <c r="BE9"/>
      <c r="BF9"/>
      <c r="BG9"/>
      <c r="BH9"/>
      <c r="BI9"/>
      <c r="BJ9"/>
      <c r="BK9"/>
      <c r="BL9"/>
      <c r="BM9"/>
      <c r="BN9"/>
      <c r="BO9"/>
      <c r="BP9"/>
      <c r="BQ9"/>
      <c r="BR9"/>
      <c r="BS9"/>
      <c r="BT9"/>
      <c r="BU9"/>
      <c r="BV9"/>
      <c r="BW9"/>
      <c r="BX9"/>
      <c r="BY9" s="49"/>
      <c r="BZ9" s="49"/>
      <c r="CA9" s="49"/>
    </row>
    <row r="10" spans="1:79" ht="15" customHeight="1" x14ac:dyDescent="0.3">
      <c r="A10" s="28"/>
      <c r="B10" s="54" t="s">
        <v>22</v>
      </c>
      <c r="C10" s="30"/>
      <c r="D10" s="30"/>
      <c r="E10" s="30"/>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31"/>
      <c r="AL10" s="58"/>
      <c r="AM10" s="58"/>
      <c r="AN10" s="58"/>
      <c r="AO10" s="58"/>
      <c r="AP10" s="58"/>
      <c r="AQ10" s="58"/>
      <c r="AS10" s="62">
        <v>1</v>
      </c>
      <c r="AT10" s="4" t="s">
        <v>305</v>
      </c>
      <c r="AU10" s="22"/>
      <c r="AV10" s="22"/>
      <c r="AW10" s="22"/>
      <c r="AX10" s="22"/>
      <c r="AY10" s="22"/>
      <c r="AZ10" s="22"/>
      <c r="BA10" s="22"/>
      <c r="BB10" s="22"/>
      <c r="BC10" s="22"/>
      <c r="BD10" s="22"/>
      <c r="BE10"/>
      <c r="BF10"/>
      <c r="BG10"/>
      <c r="BH10"/>
      <c r="BI10"/>
      <c r="BJ10"/>
      <c r="BK10"/>
      <c r="BL10"/>
      <c r="BM10"/>
      <c r="BN10"/>
      <c r="BO10"/>
      <c r="BP10"/>
      <c r="BQ10"/>
      <c r="BR10"/>
      <c r="BS10"/>
      <c r="BT10"/>
      <c r="BU10"/>
      <c r="BV10"/>
      <c r="BW10"/>
      <c r="BX10"/>
      <c r="BY10" s="49"/>
      <c r="BZ10" s="49"/>
      <c r="CA10" s="49"/>
    </row>
    <row r="11" spans="1:79" ht="4.95" customHeight="1" x14ac:dyDescent="0.3">
      <c r="A11" s="32"/>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4"/>
      <c r="AL11" s="58"/>
      <c r="AM11" s="58"/>
      <c r="AN11" s="58"/>
      <c r="AO11" s="58"/>
      <c r="AP11" s="58"/>
      <c r="AQ11" s="58"/>
      <c r="BE11" s="48"/>
      <c r="BF11" s="48"/>
      <c r="BG11" s="48"/>
      <c r="BH11" s="48"/>
      <c r="BI11" s="48"/>
      <c r="BJ11" s="48"/>
      <c r="BK11" s="48"/>
      <c r="BL11" s="48"/>
      <c r="BM11" s="48"/>
      <c r="BN11" s="48"/>
      <c r="BO11" s="48"/>
      <c r="BP11" s="48"/>
      <c r="BQ11" s="48"/>
      <c r="BR11" s="48"/>
      <c r="BS11" s="48"/>
      <c r="BT11" s="48"/>
      <c r="BU11" s="48"/>
      <c r="BV11" s="48"/>
      <c r="BW11" s="48"/>
      <c r="BX11" s="48"/>
      <c r="BY11" s="48"/>
      <c r="BZ11" s="48"/>
      <c r="CA11" s="48"/>
    </row>
    <row r="12" spans="1:79" ht="15" customHeight="1" x14ac:dyDescent="0.3">
      <c r="B12" s="1" t="s">
        <v>0</v>
      </c>
      <c r="C12" s="1"/>
      <c r="D12" s="1"/>
      <c r="E12" s="1"/>
      <c r="F12" s="1"/>
      <c r="G12" s="1"/>
      <c r="H12" s="1"/>
      <c r="I12" s="1"/>
      <c r="J12" s="1"/>
      <c r="AD12" s="2"/>
      <c r="AL12" s="58"/>
      <c r="AM12" s="58"/>
      <c r="AS12" s="62"/>
      <c r="AT12" s="4" t="s">
        <v>296</v>
      </c>
      <c r="AU12" s="22"/>
      <c r="AV12" s="22"/>
      <c r="AW12" s="22"/>
      <c r="AX12" s="22"/>
      <c r="AY12" s="22"/>
      <c r="AZ12" s="22"/>
      <c r="BA12" s="22"/>
      <c r="BB12" s="22"/>
      <c r="BC12" s="22"/>
      <c r="BD12" s="22"/>
      <c r="BE12"/>
      <c r="BF12"/>
      <c r="BG12"/>
      <c r="BH12"/>
      <c r="BI12"/>
      <c r="BJ12"/>
      <c r="BK12"/>
      <c r="BL12"/>
      <c r="BM12"/>
      <c r="BN12"/>
      <c r="BO12"/>
      <c r="BP12"/>
      <c r="BQ12"/>
      <c r="BR12"/>
      <c r="BS12"/>
      <c r="BT12"/>
      <c r="BU12"/>
      <c r="BV12"/>
      <c r="BW12"/>
      <c r="BX12"/>
      <c r="BY12"/>
      <c r="BZ12"/>
      <c r="CA12"/>
    </row>
    <row r="13" spans="1:79" ht="15" customHeight="1" x14ac:dyDescent="0.3">
      <c r="C13" s="2"/>
      <c r="D13" s="2" t="s">
        <v>145</v>
      </c>
      <c r="E13" s="184"/>
      <c r="F13" s="184"/>
      <c r="G13" s="184"/>
      <c r="H13" s="184"/>
      <c r="I13" s="184"/>
      <c r="J13" s="184"/>
      <c r="K13" s="184"/>
      <c r="L13" s="184"/>
      <c r="M13" s="184"/>
      <c r="N13" s="184"/>
      <c r="O13" s="184"/>
      <c r="P13" s="184"/>
      <c r="Q13" s="184"/>
      <c r="R13" s="184"/>
      <c r="S13" s="184"/>
      <c r="T13" s="184"/>
      <c r="U13" s="184"/>
      <c r="V13" s="184"/>
      <c r="W13" s="184"/>
      <c r="X13" s="184"/>
      <c r="AD13" s="2" t="s">
        <v>172</v>
      </c>
      <c r="AE13" s="202"/>
      <c r="AF13" s="202"/>
      <c r="AG13" s="202"/>
      <c r="AH13" s="202"/>
      <c r="AI13" s="202"/>
      <c r="AJ13" s="202"/>
      <c r="AS13" s="62">
        <f>AS10+1</f>
        <v>2</v>
      </c>
      <c r="AT13" s="53" t="s">
        <v>306</v>
      </c>
      <c r="AU13" s="53"/>
      <c r="AV13" s="53"/>
      <c r="AW13" s="53"/>
      <c r="AX13" s="53"/>
      <c r="AY13" s="53"/>
      <c r="AZ13" s="53"/>
      <c r="BA13" s="53"/>
      <c r="BB13" s="53"/>
      <c r="BC13" s="53"/>
      <c r="BD13" s="53"/>
      <c r="BE13" s="50"/>
      <c r="BF13" s="50"/>
      <c r="BG13" s="50"/>
      <c r="BH13" s="50"/>
      <c r="BI13" s="50"/>
      <c r="BJ13" s="50"/>
      <c r="BK13" s="50"/>
      <c r="BL13" s="50"/>
      <c r="BM13" s="50"/>
      <c r="BN13" s="50"/>
      <c r="BO13" s="50"/>
      <c r="BP13" s="50"/>
      <c r="BQ13" s="50"/>
      <c r="BR13" s="50"/>
      <c r="BS13" s="50"/>
      <c r="BT13" s="50"/>
      <c r="BU13" s="50"/>
      <c r="BV13" s="50"/>
      <c r="BW13" s="50"/>
      <c r="BX13" s="50"/>
      <c r="BY13" s="50"/>
      <c r="BZ13" s="50"/>
      <c r="CA13" s="50"/>
    </row>
    <row r="14" spans="1:79" ht="15" customHeight="1" x14ac:dyDescent="0.3">
      <c r="C14" s="2"/>
      <c r="D14" s="2" t="s">
        <v>146</v>
      </c>
      <c r="E14" s="185"/>
      <c r="F14" s="185"/>
      <c r="G14" s="185"/>
      <c r="H14" s="185"/>
      <c r="I14" s="185"/>
      <c r="J14" s="185"/>
      <c r="K14" s="185"/>
      <c r="L14" s="185"/>
      <c r="M14" s="185"/>
      <c r="N14" s="185"/>
      <c r="O14" s="185"/>
      <c r="P14" s="185"/>
      <c r="Q14" s="185"/>
      <c r="R14" s="185"/>
      <c r="S14" s="185"/>
      <c r="T14" s="185"/>
      <c r="U14" s="185"/>
      <c r="V14" s="185"/>
      <c r="W14" s="185"/>
      <c r="X14" s="185"/>
      <c r="AD14" s="2" t="s">
        <v>173</v>
      </c>
      <c r="AE14" s="183"/>
      <c r="AF14" s="183"/>
      <c r="AG14" s="183"/>
      <c r="AH14" s="183"/>
      <c r="AI14" s="183"/>
      <c r="AJ14" s="183"/>
      <c r="AS14" s="62">
        <f>AS13+1</f>
        <v>3</v>
      </c>
      <c r="AT14" s="4" t="s">
        <v>329</v>
      </c>
      <c r="BE14" s="48"/>
      <c r="BF14" s="48"/>
      <c r="BG14" s="48"/>
      <c r="BH14" s="48"/>
      <c r="BI14" s="48"/>
      <c r="BJ14" s="48"/>
      <c r="BK14" s="48"/>
      <c r="BL14" s="48"/>
      <c r="BM14" s="48"/>
      <c r="BN14" s="48"/>
      <c r="BO14" s="48"/>
      <c r="BP14" s="48"/>
      <c r="BQ14" s="48"/>
      <c r="BR14" s="48"/>
      <c r="BS14" s="48"/>
      <c r="BT14" s="48"/>
      <c r="BU14" s="48"/>
      <c r="BV14" s="48"/>
      <c r="BW14" s="48"/>
      <c r="BX14" s="48"/>
      <c r="BY14" s="48"/>
      <c r="BZ14" s="48"/>
      <c r="CA14" s="48"/>
    </row>
    <row r="15" spans="1:79" ht="4.95"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59"/>
      <c r="AM15" s="59"/>
      <c r="AN15" s="59"/>
      <c r="AO15" s="59"/>
      <c r="AP15" s="59"/>
      <c r="AQ15" s="59"/>
      <c r="AS15" s="62"/>
      <c r="BE15" s="48"/>
      <c r="BF15" s="48"/>
      <c r="BG15" s="48"/>
      <c r="BH15" s="48"/>
      <c r="BI15" s="48"/>
      <c r="BJ15" s="48"/>
      <c r="BK15" s="48"/>
      <c r="BL15" s="48"/>
      <c r="BM15" s="48"/>
      <c r="BN15" s="48"/>
      <c r="BO15" s="48"/>
      <c r="BP15" s="48"/>
      <c r="BQ15" s="48"/>
      <c r="BR15" s="48"/>
      <c r="BS15" s="48"/>
      <c r="BT15" s="48"/>
      <c r="BU15" s="48"/>
      <c r="BV15" s="48"/>
      <c r="BW15" s="48"/>
      <c r="BX15" s="48"/>
      <c r="BY15" s="48"/>
      <c r="BZ15" s="48"/>
      <c r="CA15" s="48"/>
    </row>
    <row r="16" spans="1:79" ht="15" customHeight="1" x14ac:dyDescent="0.3">
      <c r="B16" s="53" t="s">
        <v>127</v>
      </c>
      <c r="C16" s="53"/>
      <c r="D16" s="53"/>
      <c r="E16" s="53"/>
      <c r="F16" s="74"/>
      <c r="G16" s="4" t="s">
        <v>139</v>
      </c>
      <c r="N16" s="74"/>
      <c r="O16" s="4" t="s">
        <v>140</v>
      </c>
      <c r="V16" s="74"/>
      <c r="W16" s="4" t="s">
        <v>141</v>
      </c>
      <c r="AT16" s="4" t="s">
        <v>307</v>
      </c>
      <c r="BE16" s="48"/>
      <c r="BF16" s="48"/>
      <c r="BG16" s="48"/>
      <c r="BH16" s="48"/>
      <c r="BI16" s="48"/>
      <c r="BJ16" s="48"/>
      <c r="BK16" s="48"/>
      <c r="BL16" s="48"/>
      <c r="BM16" s="48"/>
      <c r="BN16" s="48"/>
      <c r="BO16" s="48"/>
      <c r="BP16" s="48"/>
      <c r="BQ16" s="48"/>
      <c r="BR16" s="48"/>
      <c r="BS16" s="48"/>
      <c r="BT16" s="48"/>
      <c r="BU16" s="48"/>
      <c r="BV16" s="48"/>
      <c r="BW16" s="48"/>
      <c r="BX16" s="48"/>
      <c r="BY16" s="48"/>
      <c r="BZ16" s="48"/>
      <c r="CA16" s="48"/>
    </row>
    <row r="17" spans="2:79" ht="4.95" customHeight="1" x14ac:dyDescent="0.3">
      <c r="F17" s="2"/>
      <c r="G17" s="2"/>
      <c r="H17" s="2"/>
      <c r="I17" s="2"/>
      <c r="J17" s="2"/>
    </row>
    <row r="18" spans="2:79" ht="14.55" customHeight="1" x14ac:dyDescent="0.3">
      <c r="G18" s="2"/>
      <c r="I18" s="2" t="s">
        <v>227</v>
      </c>
      <c r="J18" s="191"/>
      <c r="K18" s="191"/>
      <c r="L18" s="191"/>
      <c r="M18" s="191"/>
      <c r="N18" s="4" t="s">
        <v>35</v>
      </c>
      <c r="AS18" s="62">
        <f>AS14+1</f>
        <v>4</v>
      </c>
      <c r="AT18" s="4" t="s">
        <v>214</v>
      </c>
      <c r="BE18" s="48"/>
      <c r="BF18" s="48"/>
      <c r="BG18" s="48"/>
      <c r="BH18" s="48"/>
      <c r="BI18" s="48"/>
      <c r="BJ18" s="48"/>
      <c r="BK18" s="48"/>
      <c r="BL18" s="48"/>
      <c r="BM18" s="48"/>
      <c r="BN18" s="48"/>
      <c r="BO18" s="48"/>
      <c r="BP18" s="48"/>
      <c r="BQ18" s="48"/>
      <c r="BR18" s="48"/>
      <c r="BS18" s="48"/>
      <c r="BT18" s="48"/>
      <c r="BU18" s="48"/>
      <c r="BV18" s="48"/>
      <c r="BW18" s="48"/>
      <c r="BX18" s="48"/>
      <c r="BY18" s="48"/>
      <c r="BZ18" s="48"/>
      <c r="CA18" s="48"/>
    </row>
    <row r="19" spans="2:79" ht="14.55" customHeight="1" x14ac:dyDescent="0.3">
      <c r="B19" s="4" t="s">
        <v>2</v>
      </c>
      <c r="Z19" s="2" t="s">
        <v>234</v>
      </c>
      <c r="AA19" s="191"/>
      <c r="AB19" s="191"/>
      <c r="AC19" s="191"/>
      <c r="AD19" s="191"/>
      <c r="AE19" s="4" t="s">
        <v>35</v>
      </c>
      <c r="AS19" s="62"/>
      <c r="AT19" s="4" t="str">
        <f>"Hydrology for Small Watersheds Technical Release 55 (TR-55) or equivalent as approved by the "&amp;Tables!$C$23&amp;" Engineer;"</f>
        <v>Hydrology for Small Watersheds Technical Release 55 (TR-55) or equivalent as approved by the City Engineer;</v>
      </c>
      <c r="BE19" s="48"/>
      <c r="BF19" s="48"/>
      <c r="BG19" s="48"/>
      <c r="BH19" s="48"/>
      <c r="BI19" s="48"/>
      <c r="BJ19" s="48"/>
      <c r="BK19" s="48"/>
      <c r="BL19" s="48"/>
      <c r="BM19" s="48"/>
      <c r="BN19" s="48"/>
      <c r="BO19" s="48"/>
      <c r="BP19" s="48"/>
      <c r="BQ19" s="48"/>
      <c r="BR19" s="48"/>
      <c r="BS19" s="48"/>
      <c r="BT19" s="48"/>
      <c r="BU19" s="48"/>
      <c r="BV19" s="48"/>
      <c r="BW19" s="48"/>
      <c r="BX19" s="48"/>
      <c r="BY19" s="48"/>
      <c r="BZ19" s="48"/>
      <c r="CA19" s="48"/>
    </row>
    <row r="20" spans="2:79" ht="14.55" customHeight="1" x14ac:dyDescent="0.3">
      <c r="G20" s="2"/>
      <c r="H20" s="2"/>
      <c r="I20" s="2" t="s">
        <v>228</v>
      </c>
      <c r="J20" s="191"/>
      <c r="K20" s="191"/>
      <c r="L20" s="191"/>
      <c r="M20" s="191"/>
      <c r="N20" s="4" t="s">
        <v>35</v>
      </c>
      <c r="S20" s="4" t="s">
        <v>52</v>
      </c>
      <c r="AS20" s="62">
        <f>AS18+1</f>
        <v>5</v>
      </c>
      <c r="AT20" s="22" t="s">
        <v>215</v>
      </c>
      <c r="BE20" s="48"/>
      <c r="BF20" s="48"/>
      <c r="BG20" s="48"/>
      <c r="BH20" s="48"/>
      <c r="BI20" s="48"/>
      <c r="BJ20" s="48"/>
      <c r="BK20" s="48"/>
      <c r="BL20" s="48"/>
      <c r="BM20" s="48"/>
      <c r="BN20" s="48"/>
      <c r="BO20" s="48"/>
      <c r="BP20" s="48"/>
      <c r="BQ20" s="48"/>
      <c r="BR20" s="48"/>
      <c r="BS20" s="48"/>
      <c r="BT20" s="48"/>
      <c r="BU20" s="48"/>
      <c r="BV20" s="48"/>
      <c r="BW20" s="48"/>
      <c r="BX20" s="48"/>
      <c r="BY20" s="48"/>
      <c r="BZ20" s="48"/>
      <c r="CA20" s="48"/>
    </row>
    <row r="21" spans="2:79" ht="14.55" customHeight="1" x14ac:dyDescent="0.3">
      <c r="G21" s="2"/>
      <c r="H21" s="2"/>
      <c r="I21" s="2" t="s">
        <v>229</v>
      </c>
      <c r="J21" s="169"/>
      <c r="K21" s="169"/>
      <c r="L21" s="169"/>
      <c r="M21" s="169"/>
      <c r="N21" s="4" t="s">
        <v>35</v>
      </c>
      <c r="V21" s="2" t="s">
        <v>235</v>
      </c>
      <c r="W21" s="209">
        <f>IF(AL21=1,"0.00",IFERROR(IF($J$25-$AA$19&lt;0,0,$J$25-$AA$19),""))</f>
        <v>0</v>
      </c>
      <c r="X21" s="209"/>
      <c r="Y21" s="209"/>
      <c r="Z21" s="209"/>
      <c r="AA21" s="4" t="s">
        <v>35</v>
      </c>
      <c r="AL21" s="119">
        <f>IF(AND(J25=0,ISBLANK(AA19)),0,IF(OR(J25-AA19=0,J25-AA19&lt;0),1,2))</f>
        <v>0</v>
      </c>
      <c r="AS21" s="62"/>
      <c r="AT21" s="22" t="str">
        <f>"pre-development hydrology for the "&amp;Tables!$C$28&amp;"-year 24-hour rainfall depths;"</f>
        <v>pre-development hydrology for the 2, 5, 10, and 25-year 24-hour rainfall depths;</v>
      </c>
      <c r="AV21" s="22"/>
      <c r="AW21" s="22"/>
      <c r="AX21" s="22"/>
      <c r="AY21" s="22"/>
      <c r="AZ21" s="22"/>
      <c r="BA21" s="22"/>
      <c r="BB21" s="22"/>
      <c r="BC21" s="22"/>
      <c r="BD21" s="22"/>
      <c r="BE21"/>
      <c r="BF21"/>
      <c r="BG21"/>
      <c r="BH21"/>
      <c r="BI21"/>
      <c r="BJ21"/>
      <c r="BK21"/>
      <c r="BL21"/>
      <c r="BM21"/>
      <c r="BN21"/>
      <c r="BO21"/>
      <c r="BP21"/>
      <c r="BQ21"/>
      <c r="BR21"/>
      <c r="BS21"/>
      <c r="BT21"/>
      <c r="BU21"/>
      <c r="BV21"/>
      <c r="BW21"/>
      <c r="BX21"/>
      <c r="BY21"/>
      <c r="BZ21"/>
      <c r="CA21"/>
    </row>
    <row r="22" spans="2:79" ht="14.55" customHeight="1" x14ac:dyDescent="0.3">
      <c r="G22" s="2"/>
      <c r="H22" s="2"/>
      <c r="I22" s="2" t="s">
        <v>230</v>
      </c>
      <c r="J22" s="169"/>
      <c r="K22" s="169"/>
      <c r="L22" s="169"/>
      <c r="M22" s="169"/>
      <c r="N22" s="4" t="s">
        <v>35</v>
      </c>
      <c r="S22" s="4" t="s">
        <v>36</v>
      </c>
      <c r="AS22" s="62">
        <f>AS20+1</f>
        <v>6</v>
      </c>
      <c r="AT22" s="4" t="s">
        <v>308</v>
      </c>
      <c r="AV22" s="22"/>
      <c r="AW22" s="22"/>
      <c r="AX22" s="22"/>
      <c r="AY22" s="22"/>
      <c r="AZ22" s="22"/>
      <c r="BA22" s="22"/>
      <c r="BB22" s="22"/>
      <c r="BC22" s="22"/>
      <c r="BD22" s="22"/>
      <c r="BE22"/>
      <c r="BF22"/>
      <c r="BG22"/>
      <c r="BH22"/>
      <c r="BI22"/>
      <c r="BJ22"/>
      <c r="BK22"/>
      <c r="BL22"/>
      <c r="BM22"/>
      <c r="BN22"/>
      <c r="BO22"/>
      <c r="BP22"/>
      <c r="BQ22"/>
      <c r="BR22"/>
      <c r="BS22"/>
      <c r="BT22"/>
      <c r="BU22"/>
      <c r="BV22"/>
      <c r="BW22"/>
      <c r="BX22"/>
      <c r="BY22"/>
      <c r="BZ22"/>
      <c r="CA22"/>
    </row>
    <row r="23" spans="2:79" ht="14.55" customHeight="1" x14ac:dyDescent="0.3">
      <c r="G23" s="2"/>
      <c r="H23" s="2"/>
      <c r="I23" s="2" t="s">
        <v>231</v>
      </c>
      <c r="J23" s="169"/>
      <c r="K23" s="169"/>
      <c r="L23" s="169"/>
      <c r="M23" s="169"/>
      <c r="N23" s="4" t="s">
        <v>35</v>
      </c>
      <c r="V23" s="2" t="s">
        <v>38</v>
      </c>
      <c r="W23" s="4" t="str">
        <f>"AIA acres X "&amp;Tables!D15&amp; " in X 3,630"</f>
        <v>AIA acres X 1.10 in X 3,630</v>
      </c>
      <c r="AT23" s="4" t="s">
        <v>309</v>
      </c>
      <c r="BE23" s="48"/>
      <c r="BF23" s="48"/>
      <c r="BG23" s="48"/>
      <c r="BH23" s="48"/>
      <c r="BI23" s="48"/>
      <c r="BJ23" s="48"/>
      <c r="BK23" s="48"/>
      <c r="BL23" s="48"/>
      <c r="BM23" s="48"/>
      <c r="BN23" s="48"/>
      <c r="BO23" s="48"/>
      <c r="BP23" s="48"/>
      <c r="BQ23" s="48"/>
      <c r="BR23" s="48"/>
      <c r="BS23" s="48"/>
      <c r="BT23" s="48"/>
      <c r="BU23" s="48"/>
      <c r="BV23" s="48"/>
      <c r="BW23" s="48"/>
      <c r="BX23" s="48"/>
      <c r="BY23" s="48"/>
      <c r="BZ23" s="48"/>
      <c r="CA23" s="48"/>
    </row>
    <row r="24" spans="2:79" ht="14.55" customHeight="1" thickBot="1" x14ac:dyDescent="0.35">
      <c r="G24" s="2"/>
      <c r="H24" s="2"/>
      <c r="I24" s="2" t="s">
        <v>232</v>
      </c>
      <c r="J24" s="208"/>
      <c r="K24" s="208"/>
      <c r="L24" s="208"/>
      <c r="M24" s="208"/>
      <c r="N24" s="4" t="s">
        <v>35</v>
      </c>
      <c r="V24" s="2" t="s">
        <v>38</v>
      </c>
      <c r="W24" s="209">
        <f>IF(AL21=1,"0.00",IFERROR(IF($J$25-$AA$19&lt;0,0,$J$25-$AA$19),""))</f>
        <v>0</v>
      </c>
      <c r="X24" s="209"/>
      <c r="Y24" s="209"/>
      <c r="Z24" s="209"/>
      <c r="AA24" s="4" t="str">
        <f>"acres X "&amp;Tables!D15&amp;" in X 3,630"</f>
        <v>acres X 1.10 in X 3,630</v>
      </c>
      <c r="AT24" s="4" t="s">
        <v>216</v>
      </c>
      <c r="AU24" s="22"/>
      <c r="BE24" s="48"/>
      <c r="BF24" s="48"/>
      <c r="BG24" s="48"/>
      <c r="BH24" s="48"/>
      <c r="BI24" s="48"/>
      <c r="BJ24" s="48"/>
      <c r="BK24" s="48"/>
      <c r="BL24" s="48"/>
      <c r="BM24" s="48"/>
      <c r="BN24" s="48"/>
      <c r="BO24" s="48"/>
      <c r="BP24" s="48"/>
      <c r="BQ24" s="48"/>
      <c r="BR24" s="48"/>
      <c r="BS24" s="48"/>
      <c r="BT24" s="48"/>
      <c r="BU24" s="48"/>
      <c r="BV24" s="48"/>
      <c r="BW24" s="48"/>
      <c r="BX24" s="48"/>
      <c r="BY24" s="48"/>
      <c r="BZ24" s="48"/>
      <c r="CA24" s="48"/>
    </row>
    <row r="25" spans="2:79" ht="14.55" customHeight="1" thickTop="1" x14ac:dyDescent="0.3">
      <c r="G25" s="2"/>
      <c r="H25" s="2"/>
      <c r="I25" s="2" t="s">
        <v>233</v>
      </c>
      <c r="J25" s="209">
        <f>IF(SUM($J$20:$J$24)=0,0,SUM($J$20:$J$24))</f>
        <v>0</v>
      </c>
      <c r="K25" s="209"/>
      <c r="L25" s="209"/>
      <c r="M25" s="209"/>
      <c r="N25" s="4" t="s">
        <v>35</v>
      </c>
      <c r="V25" s="2" t="s">
        <v>38</v>
      </c>
      <c r="W25" s="195">
        <f>IF(AL21=1,"0",IFERROR(ROUND(IF(($J$25-$AA$19)*Tables!C15*3630&lt;0,0,($J$25-$AA$19)*Tables!C15*3630),0),""))</f>
        <v>0</v>
      </c>
      <c r="X25" s="195"/>
      <c r="Y25" s="195"/>
      <c r="Z25" s="195"/>
      <c r="AA25" s="4" t="s">
        <v>37</v>
      </c>
      <c r="AS25" s="62">
        <f>AS22+1</f>
        <v>7</v>
      </c>
      <c r="AT25" s="4" t="s">
        <v>219</v>
      </c>
      <c r="AU25" s="22"/>
      <c r="BE25" s="48"/>
      <c r="BF25" s="48"/>
      <c r="BG25" s="48"/>
      <c r="BH25" s="48"/>
      <c r="BI25" s="48"/>
      <c r="BJ25" s="48"/>
      <c r="BK25" s="48"/>
      <c r="BL25" s="48"/>
      <c r="BM25" s="48"/>
      <c r="BN25" s="48"/>
      <c r="BO25" s="48"/>
      <c r="BP25" s="48"/>
      <c r="BQ25" s="48"/>
      <c r="BR25" s="48"/>
      <c r="BS25" s="48"/>
      <c r="BT25" s="48"/>
      <c r="BU25" s="48"/>
      <c r="BV25" s="48"/>
      <c r="BW25" s="48"/>
      <c r="BX25" s="48"/>
      <c r="BY25" s="48"/>
      <c r="BZ25" s="48"/>
      <c r="CA25" s="48"/>
    </row>
    <row r="26" spans="2:79" ht="10.050000000000001" customHeight="1" x14ac:dyDescent="0.3">
      <c r="AS26" s="62"/>
      <c r="AU26" s="22"/>
      <c r="BE26" s="48"/>
      <c r="BF26" s="48"/>
      <c r="BG26" s="48"/>
      <c r="BH26" s="48"/>
      <c r="BI26" s="48"/>
      <c r="BJ26" s="48"/>
      <c r="BK26" s="48"/>
      <c r="BL26" s="48"/>
      <c r="BM26" s="48"/>
      <c r="BN26" s="48"/>
      <c r="BO26" s="48"/>
      <c r="BP26" s="48"/>
      <c r="BQ26" s="48"/>
      <c r="BR26" s="48"/>
      <c r="BS26" s="48"/>
      <c r="BT26" s="48"/>
      <c r="BU26" s="48"/>
      <c r="BV26" s="48"/>
      <c r="BW26" s="48"/>
      <c r="BX26" s="48"/>
      <c r="BY26" s="48"/>
      <c r="BZ26" s="48"/>
      <c r="CA26" s="48"/>
    </row>
    <row r="27" spans="2:79" ht="15" customHeight="1" x14ac:dyDescent="0.3">
      <c r="B27" s="1" t="s">
        <v>3</v>
      </c>
      <c r="C27" s="1"/>
      <c r="D27" s="1"/>
      <c r="E27" s="1"/>
      <c r="F27" s="1"/>
      <c r="G27" s="1"/>
      <c r="H27" s="1"/>
      <c r="I27" s="1"/>
      <c r="J27" s="1"/>
      <c r="O27" s="2" t="s">
        <v>362</v>
      </c>
      <c r="P27" s="74"/>
      <c r="Q27" s="4" t="s">
        <v>363</v>
      </c>
      <c r="S27" s="74"/>
      <c r="T27" s="4" t="s">
        <v>364</v>
      </c>
      <c r="V27" s="74"/>
      <c r="W27" s="4" t="s">
        <v>365</v>
      </c>
      <c r="Y27" s="74"/>
      <c r="Z27" s="4" t="s">
        <v>366</v>
      </c>
      <c r="AL27" s="119">
        <f>IF(AND(ISBLANK(P27),ISBLANK(S27),ISBLANK(V27),ISBLANK(Y27)),1,2)</f>
        <v>1</v>
      </c>
      <c r="AM27" s="119">
        <f>IF(ISBLANK(P27),IF(ISBLANK(S27),IF(ISBLANK(V27),IF(ISBLANK(Y27),0,4),3),2),1)</f>
        <v>0</v>
      </c>
      <c r="AT27" s="4" t="s">
        <v>217</v>
      </c>
      <c r="BE27" s="48"/>
      <c r="BF27" s="48"/>
      <c r="BG27" s="48"/>
      <c r="BH27" s="48"/>
      <c r="BI27" s="48"/>
      <c r="BJ27" s="48"/>
      <c r="BK27" s="48"/>
      <c r="BL27" s="48"/>
      <c r="BM27" s="48"/>
      <c r="BN27" s="48"/>
      <c r="BO27" s="48"/>
      <c r="BP27" s="48"/>
      <c r="BQ27" s="48"/>
      <c r="BR27" s="48"/>
      <c r="BS27" s="48"/>
      <c r="BT27" s="48"/>
      <c r="BU27" s="48"/>
      <c r="BV27" s="48"/>
      <c r="BW27" s="48"/>
      <c r="BX27" s="48"/>
      <c r="BY27" s="48"/>
      <c r="BZ27" s="48"/>
      <c r="CA27" s="48"/>
    </row>
    <row r="28" spans="2:79" s="56" customFormat="1" ht="15" hidden="1" customHeight="1" x14ac:dyDescent="0.3">
      <c r="B28" s="57"/>
      <c r="C28" s="57"/>
      <c r="D28" s="57"/>
      <c r="E28" s="57"/>
      <c r="F28" s="57"/>
      <c r="G28" s="57"/>
      <c r="H28" s="57"/>
      <c r="I28" s="57"/>
      <c r="J28" s="57"/>
      <c r="L28" s="118">
        <f>IF(ISBLANK(L29),1,2)</f>
        <v>1</v>
      </c>
      <c r="P28" s="118">
        <f>IF(ISBLANK(P29),1,2)</f>
        <v>1</v>
      </c>
      <c r="T28" s="118">
        <f>IF(ISBLANK(T29),1,2)</f>
        <v>1</v>
      </c>
      <c r="X28" s="118">
        <f>IF(ISBLANK(X29),1,2)</f>
        <v>1</v>
      </c>
      <c r="AB28" s="118">
        <f>IF(ISBLANK(AB29),1,2)</f>
        <v>1</v>
      </c>
    </row>
    <row r="29" spans="2:79" ht="14.55" customHeight="1" x14ac:dyDescent="0.3">
      <c r="J29" s="2" t="s">
        <v>48</v>
      </c>
      <c r="L29" s="204"/>
      <c r="M29" s="204"/>
      <c r="N29" s="204"/>
      <c r="P29" s="204"/>
      <c r="Q29" s="204"/>
      <c r="R29" s="204"/>
      <c r="T29" s="204"/>
      <c r="U29" s="204"/>
      <c r="V29" s="204"/>
      <c r="X29" s="204"/>
      <c r="Y29" s="204"/>
      <c r="Z29" s="204"/>
      <c r="AB29" s="204"/>
      <c r="AC29" s="204"/>
      <c r="AD29" s="204"/>
      <c r="AG29" s="6" t="s">
        <v>13</v>
      </c>
      <c r="AH29" s="6"/>
      <c r="AI29" s="6"/>
      <c r="AS29" s="62">
        <f>AS25+1</f>
        <v>8</v>
      </c>
      <c r="AT29" s="4" t="s">
        <v>310</v>
      </c>
      <c r="BE29" s="48"/>
      <c r="BF29" s="48"/>
      <c r="BG29" s="48"/>
      <c r="BH29" s="48"/>
      <c r="BI29" s="48"/>
      <c r="BJ29" s="48"/>
      <c r="BK29" s="48"/>
      <c r="BL29" s="48"/>
      <c r="BM29" s="48"/>
      <c r="BN29" s="48"/>
      <c r="BO29" s="48"/>
      <c r="BP29" s="48"/>
      <c r="BQ29" s="48"/>
      <c r="BR29" s="48"/>
      <c r="BS29" s="48"/>
      <c r="BT29" s="48"/>
      <c r="BU29" s="48"/>
      <c r="BV29" s="48"/>
      <c r="BW29" s="48"/>
      <c r="BX29" s="48"/>
      <c r="BY29" s="48"/>
      <c r="BZ29" s="48"/>
      <c r="CA29" s="48"/>
    </row>
    <row r="30" spans="2:79" ht="14.55" customHeight="1" x14ac:dyDescent="0.3">
      <c r="J30" s="2" t="s">
        <v>142</v>
      </c>
      <c r="L30" s="169"/>
      <c r="M30" s="169"/>
      <c r="N30" s="169"/>
      <c r="P30" s="169"/>
      <c r="Q30" s="169"/>
      <c r="R30" s="169"/>
      <c r="T30" s="169"/>
      <c r="U30" s="169"/>
      <c r="V30" s="169"/>
      <c r="X30" s="191"/>
      <c r="Y30" s="191"/>
      <c r="Z30" s="191"/>
      <c r="AB30" s="169"/>
      <c r="AC30" s="169"/>
      <c r="AD30" s="169"/>
      <c r="AF30" s="191"/>
      <c r="AG30" s="191"/>
      <c r="AH30" s="191"/>
      <c r="AI30" s="8"/>
      <c r="AT30" s="4" t="s">
        <v>311</v>
      </c>
      <c r="BE30" s="48"/>
      <c r="BF30" s="48"/>
      <c r="BG30" s="48"/>
      <c r="BH30" s="48"/>
      <c r="BI30" s="48"/>
      <c r="BJ30" s="48"/>
      <c r="BK30" s="48"/>
      <c r="BL30" s="48"/>
      <c r="BM30" s="48"/>
      <c r="BN30" s="48"/>
      <c r="BO30" s="48"/>
      <c r="BP30" s="48"/>
      <c r="BQ30" s="48"/>
      <c r="BR30" s="48"/>
      <c r="BS30" s="48"/>
      <c r="BT30" s="48"/>
      <c r="BU30" s="48"/>
      <c r="BV30" s="48"/>
      <c r="BW30" s="48"/>
      <c r="BX30" s="48"/>
      <c r="BY30" s="48"/>
      <c r="BZ30" s="48"/>
      <c r="CA30" s="48"/>
    </row>
    <row r="31" spans="2:79" ht="14.55" customHeight="1" x14ac:dyDescent="0.3">
      <c r="J31" s="2" t="s">
        <v>4</v>
      </c>
      <c r="L31" s="203"/>
      <c r="M31" s="203"/>
      <c r="N31" s="203"/>
      <c r="P31" s="203"/>
      <c r="Q31" s="203"/>
      <c r="R31" s="203"/>
      <c r="T31" s="203"/>
      <c r="U31" s="203"/>
      <c r="V31" s="203"/>
      <c r="X31" s="203"/>
      <c r="Y31" s="203"/>
      <c r="Z31" s="203"/>
      <c r="AB31" s="203"/>
      <c r="AC31" s="203"/>
      <c r="AD31" s="203"/>
      <c r="AF31" s="203"/>
      <c r="AG31" s="203"/>
      <c r="AH31" s="203"/>
      <c r="AI31" s="7"/>
      <c r="AS31" s="62">
        <f>AS29+1</f>
        <v>9</v>
      </c>
      <c r="AT31" s="4" t="s">
        <v>313</v>
      </c>
      <c r="BE31" s="48"/>
      <c r="BF31" s="48"/>
      <c r="BG31" s="48"/>
      <c r="BH31" s="48"/>
      <c r="BI31" s="48"/>
      <c r="BJ31" s="48"/>
      <c r="BK31" s="48"/>
      <c r="BL31" s="48"/>
      <c r="BM31" s="48"/>
      <c r="BN31" s="48"/>
      <c r="BO31" s="48"/>
      <c r="BP31" s="48"/>
      <c r="BQ31" s="48"/>
      <c r="BR31" s="48"/>
      <c r="BS31" s="48"/>
      <c r="BT31" s="48"/>
      <c r="BU31" s="48"/>
      <c r="BV31" s="48"/>
      <c r="BW31" s="48"/>
      <c r="BX31" s="48"/>
      <c r="BY31" s="48"/>
      <c r="BZ31" s="48"/>
      <c r="CA31" s="48"/>
    </row>
    <row r="32" spans="2:79" ht="14.55" customHeight="1" x14ac:dyDescent="0.3">
      <c r="J32" s="2" t="s">
        <v>51</v>
      </c>
      <c r="L32" s="196"/>
      <c r="M32" s="196"/>
      <c r="N32" s="196"/>
      <c r="P32" s="196"/>
      <c r="Q32" s="196"/>
      <c r="R32" s="196"/>
      <c r="T32" s="196"/>
      <c r="U32" s="196"/>
      <c r="V32" s="196"/>
      <c r="X32" s="196"/>
      <c r="Y32" s="196"/>
      <c r="Z32" s="196"/>
      <c r="AB32" s="196"/>
      <c r="AC32" s="196"/>
      <c r="AD32" s="196"/>
      <c r="AF32" s="196"/>
      <c r="AG32" s="196"/>
      <c r="AH32" s="196"/>
      <c r="AI32" s="13"/>
      <c r="AL32" s="125">
        <f>SUM(AL33:AL38)</f>
        <v>0</v>
      </c>
      <c r="AM32" s="119">
        <f>SUM(AM33:AM38)</f>
        <v>0</v>
      </c>
      <c r="AN32" s="56" t="s">
        <v>13</v>
      </c>
      <c r="AT32" s="4" t="s">
        <v>312</v>
      </c>
      <c r="BE32" s="48"/>
      <c r="BF32" s="48"/>
      <c r="BG32" s="48"/>
      <c r="BH32" s="48"/>
      <c r="BI32" s="48"/>
      <c r="BJ32" s="48"/>
      <c r="BK32" s="48"/>
      <c r="BL32" s="48"/>
      <c r="BM32" s="48"/>
      <c r="BN32" s="48"/>
      <c r="BO32" s="48"/>
      <c r="BP32" s="48"/>
      <c r="BQ32" s="48"/>
      <c r="BR32" s="48"/>
      <c r="BS32" s="48"/>
      <c r="BT32" s="48"/>
      <c r="BU32" s="48"/>
      <c r="BV32" s="48"/>
      <c r="BW32" s="48"/>
      <c r="BX32" s="48"/>
      <c r="BY32" s="48"/>
      <c r="BZ32" s="48"/>
      <c r="CA32" s="48"/>
    </row>
    <row r="33" spans="2:79" ht="14.55" customHeight="1" x14ac:dyDescent="0.3">
      <c r="D33" s="210" t="s">
        <v>361</v>
      </c>
      <c r="E33" s="210"/>
      <c r="F33" s="170">
        <f>Tables!$C$16</f>
        <v>4.24</v>
      </c>
      <c r="G33" s="170"/>
      <c r="H33" s="13"/>
      <c r="I33" s="13"/>
      <c r="J33" s="2" t="str">
        <f>Tables!$A$16</f>
        <v>(2-yr)</v>
      </c>
      <c r="L33" s="191"/>
      <c r="M33" s="191"/>
      <c r="N33" s="191"/>
      <c r="P33" s="191"/>
      <c r="Q33" s="191"/>
      <c r="R33" s="191"/>
      <c r="T33" s="191"/>
      <c r="U33" s="191"/>
      <c r="V33" s="191"/>
      <c r="X33" s="191"/>
      <c r="Y33" s="191"/>
      <c r="Z33" s="191"/>
      <c r="AB33" s="191"/>
      <c r="AC33" s="191"/>
      <c r="AD33" s="191"/>
      <c r="AF33" s="191"/>
      <c r="AG33" s="191"/>
      <c r="AH33" s="191"/>
      <c r="AI33" s="8"/>
      <c r="AL33" s="119">
        <f t="shared" ref="AL33:AL38" si="0">IF(AF33=0,0,1)</f>
        <v>0</v>
      </c>
      <c r="AM33" s="119">
        <f t="shared" ref="AM33:AM38" si="1">IF(ISBLANK(AF33),0,1)</f>
        <v>0</v>
      </c>
      <c r="AT33" s="4" t="s">
        <v>314</v>
      </c>
      <c r="BE33" s="48"/>
      <c r="BF33" s="48"/>
      <c r="BG33" s="48"/>
      <c r="BH33" s="48"/>
      <c r="BI33" s="48"/>
      <c r="BJ33" s="48"/>
      <c r="BK33" s="48"/>
      <c r="BL33" s="48"/>
      <c r="BM33" s="48"/>
      <c r="BN33" s="48"/>
      <c r="BO33" s="48"/>
      <c r="BP33" s="48"/>
      <c r="BQ33" s="48"/>
      <c r="BR33" s="48"/>
      <c r="BS33" s="48"/>
      <c r="BT33" s="48"/>
      <c r="BU33" s="48"/>
      <c r="BV33" s="48"/>
      <c r="BW33" s="48"/>
      <c r="BX33" s="48"/>
      <c r="BY33" s="48"/>
      <c r="BZ33" s="48"/>
      <c r="CA33" s="48"/>
    </row>
    <row r="34" spans="2:79" ht="14.55" customHeight="1" x14ac:dyDescent="0.3">
      <c r="D34" s="210"/>
      <c r="E34" s="210"/>
      <c r="F34" s="170">
        <f>Tables!$C$17</f>
        <v>5.3</v>
      </c>
      <c r="G34" s="170"/>
      <c r="H34" s="13"/>
      <c r="I34" s="13"/>
      <c r="J34" s="2" t="str">
        <f>Tables!$A$17</f>
        <v>(5-yr)</v>
      </c>
      <c r="L34" s="169"/>
      <c r="M34" s="169"/>
      <c r="N34" s="169"/>
      <c r="P34" s="169"/>
      <c r="Q34" s="169"/>
      <c r="R34" s="169"/>
      <c r="T34" s="169"/>
      <c r="U34" s="169"/>
      <c r="V34" s="169"/>
      <c r="X34" s="169"/>
      <c r="Y34" s="169"/>
      <c r="Z34" s="169"/>
      <c r="AB34" s="169"/>
      <c r="AC34" s="169"/>
      <c r="AD34" s="169"/>
      <c r="AF34" s="169"/>
      <c r="AG34" s="169"/>
      <c r="AH34" s="169"/>
      <c r="AI34" s="8"/>
      <c r="AL34" s="119">
        <f t="shared" si="0"/>
        <v>0</v>
      </c>
      <c r="AM34" s="119">
        <f t="shared" si="1"/>
        <v>0</v>
      </c>
      <c r="AS34" s="62">
        <f>AS31+1</f>
        <v>10</v>
      </c>
      <c r="AT34" s="4" t="s">
        <v>317</v>
      </c>
      <c r="BE34" s="48"/>
      <c r="BF34" s="48"/>
      <c r="BG34" s="48"/>
      <c r="BH34" s="48"/>
      <c r="BI34" s="48"/>
      <c r="BJ34" s="48"/>
      <c r="BK34" s="48"/>
      <c r="BL34" s="48"/>
      <c r="BM34" s="48"/>
      <c r="BN34" s="48"/>
      <c r="BO34" s="48"/>
      <c r="BP34" s="48"/>
      <c r="BQ34" s="48"/>
      <c r="BR34" s="48"/>
      <c r="BS34" s="48"/>
      <c r="BT34" s="48"/>
      <c r="BU34" s="48"/>
      <c r="BV34" s="48"/>
      <c r="BW34" s="48"/>
      <c r="BX34" s="48"/>
      <c r="BY34" s="48"/>
      <c r="BZ34" s="48"/>
      <c r="CA34" s="48"/>
    </row>
    <row r="35" spans="2:79" ht="14.55" customHeight="1" x14ac:dyDescent="0.3">
      <c r="D35" s="210"/>
      <c r="E35" s="210"/>
      <c r="F35" s="170">
        <f>Tables!$C$18</f>
        <v>6.24</v>
      </c>
      <c r="G35" s="170"/>
      <c r="H35" s="13"/>
      <c r="I35" s="13"/>
      <c r="J35" s="2" t="str">
        <f>Tables!$A$18</f>
        <v>(10-yr)</v>
      </c>
      <c r="L35" s="169"/>
      <c r="M35" s="169"/>
      <c r="N35" s="169"/>
      <c r="P35" s="169"/>
      <c r="Q35" s="169"/>
      <c r="R35" s="169"/>
      <c r="T35" s="169"/>
      <c r="U35" s="169"/>
      <c r="V35" s="169"/>
      <c r="X35" s="169"/>
      <c r="Y35" s="169"/>
      <c r="Z35" s="169"/>
      <c r="AB35" s="169"/>
      <c r="AC35" s="169"/>
      <c r="AD35" s="169"/>
      <c r="AF35" s="169"/>
      <c r="AG35" s="169"/>
      <c r="AH35" s="169"/>
      <c r="AI35" s="8"/>
      <c r="AL35" s="119">
        <f t="shared" si="0"/>
        <v>0</v>
      </c>
      <c r="AM35" s="119">
        <f t="shared" si="1"/>
        <v>0</v>
      </c>
      <c r="AS35" s="62"/>
      <c r="AT35" s="4" t="s">
        <v>315</v>
      </c>
      <c r="BE35" s="48"/>
      <c r="BF35" s="48"/>
      <c r="BG35" s="48"/>
      <c r="BH35" s="48"/>
      <c r="BI35" s="48"/>
      <c r="BJ35" s="48"/>
      <c r="BK35" s="48"/>
      <c r="BL35" s="48"/>
      <c r="BM35" s="48"/>
      <c r="BN35" s="48"/>
      <c r="BO35" s="48"/>
      <c r="BP35" s="48"/>
      <c r="BQ35" s="48"/>
      <c r="BR35" s="48"/>
      <c r="BS35" s="48"/>
      <c r="BT35" s="48"/>
      <c r="BU35" s="48"/>
      <c r="BV35" s="48"/>
      <c r="BW35" s="48"/>
      <c r="BX35" s="48"/>
      <c r="BY35" s="48"/>
      <c r="BZ35" s="48"/>
      <c r="CA35" s="48"/>
    </row>
    <row r="36" spans="2:79" ht="14.55" customHeight="1" x14ac:dyDescent="0.3">
      <c r="D36" s="210"/>
      <c r="E36" s="210"/>
      <c r="F36" s="170">
        <f>Tables!$C$19</f>
        <v>7.64</v>
      </c>
      <c r="G36" s="170"/>
      <c r="H36" s="13"/>
      <c r="I36" s="13"/>
      <c r="J36" s="2" t="str">
        <f>Tables!$A$19</f>
        <v>(25-yr)</v>
      </c>
      <c r="L36" s="169"/>
      <c r="M36" s="169"/>
      <c r="N36" s="169"/>
      <c r="P36" s="169"/>
      <c r="Q36" s="169"/>
      <c r="R36" s="169"/>
      <c r="T36" s="169"/>
      <c r="U36" s="169"/>
      <c r="V36" s="169"/>
      <c r="X36" s="169"/>
      <c r="Y36" s="169"/>
      <c r="Z36" s="169"/>
      <c r="AB36" s="169"/>
      <c r="AC36" s="169"/>
      <c r="AD36" s="169"/>
      <c r="AF36" s="169"/>
      <c r="AG36" s="169"/>
      <c r="AH36" s="169"/>
      <c r="AI36" s="8"/>
      <c r="AL36" s="119">
        <f t="shared" si="0"/>
        <v>0</v>
      </c>
      <c r="AM36" s="119">
        <f t="shared" si="1"/>
        <v>0</v>
      </c>
      <c r="AT36" s="4" t="s">
        <v>316</v>
      </c>
      <c r="BE36" s="48"/>
      <c r="BF36" s="48"/>
      <c r="BG36" s="48"/>
      <c r="BH36" s="48"/>
      <c r="BI36" s="48"/>
      <c r="BJ36" s="48"/>
      <c r="BK36" s="48"/>
      <c r="BL36" s="48"/>
      <c r="BM36" s="48"/>
      <c r="BN36" s="48"/>
      <c r="BO36" s="48"/>
      <c r="BP36" s="48"/>
      <c r="BQ36" s="48"/>
      <c r="BR36" s="48"/>
      <c r="BS36" s="48"/>
      <c r="BT36" s="48"/>
      <c r="BU36" s="48"/>
      <c r="BV36" s="48"/>
      <c r="BW36" s="48"/>
      <c r="BX36" s="48"/>
      <c r="BY36" s="48"/>
      <c r="BZ36" s="48"/>
      <c r="CA36" s="48"/>
    </row>
    <row r="37" spans="2:79" ht="14.55" customHeight="1" x14ac:dyDescent="0.3">
      <c r="D37" s="210"/>
      <c r="E37" s="210"/>
      <c r="F37" s="170">
        <f>Tables!$C$20</f>
        <v>8.8000000000000007</v>
      </c>
      <c r="G37" s="170"/>
      <c r="H37" s="13"/>
      <c r="I37" s="13"/>
      <c r="J37" s="2" t="str">
        <f>Tables!$A$20</f>
        <v>(50-yr)</v>
      </c>
      <c r="L37" s="169"/>
      <c r="M37" s="169"/>
      <c r="N37" s="169"/>
      <c r="P37" s="169"/>
      <c r="Q37" s="169"/>
      <c r="R37" s="169"/>
      <c r="T37" s="169"/>
      <c r="U37" s="169"/>
      <c r="V37" s="169"/>
      <c r="X37" s="169"/>
      <c r="Y37" s="169"/>
      <c r="Z37" s="169"/>
      <c r="AB37" s="169"/>
      <c r="AC37" s="169"/>
      <c r="AD37" s="169"/>
      <c r="AF37" s="169"/>
      <c r="AG37" s="169"/>
      <c r="AH37" s="169"/>
      <c r="AI37" s="8"/>
      <c r="AL37" s="119">
        <f t="shared" si="0"/>
        <v>0</v>
      </c>
      <c r="AM37" s="119">
        <f t="shared" si="1"/>
        <v>0</v>
      </c>
      <c r="AT37" s="4" t="s">
        <v>395</v>
      </c>
    </row>
    <row r="38" spans="2:79" ht="14.55" customHeight="1" x14ac:dyDescent="0.3">
      <c r="D38" s="210"/>
      <c r="E38" s="210"/>
      <c r="F38" s="170">
        <f>Tables!$C$21</f>
        <v>10</v>
      </c>
      <c r="G38" s="170"/>
      <c r="H38" s="13"/>
      <c r="I38" s="13"/>
      <c r="J38" s="2" t="str">
        <f>Tables!$A$21</f>
        <v>(100-yr)</v>
      </c>
      <c r="L38" s="169"/>
      <c r="M38" s="169"/>
      <c r="N38" s="169"/>
      <c r="P38" s="169"/>
      <c r="Q38" s="169"/>
      <c r="R38" s="169"/>
      <c r="T38" s="169"/>
      <c r="U38" s="169"/>
      <c r="V38" s="169"/>
      <c r="X38" s="169"/>
      <c r="Y38" s="169"/>
      <c r="Z38" s="169"/>
      <c r="AB38" s="169"/>
      <c r="AC38" s="169"/>
      <c r="AD38" s="169"/>
      <c r="AF38" s="191"/>
      <c r="AG38" s="191"/>
      <c r="AH38" s="191"/>
      <c r="AI38" s="8"/>
      <c r="AL38" s="119">
        <f t="shared" si="0"/>
        <v>0</v>
      </c>
      <c r="AM38" s="119">
        <f t="shared" si="1"/>
        <v>0</v>
      </c>
      <c r="AN38" s="124">
        <f>SUM(AF33:AH38)</f>
        <v>0</v>
      </c>
      <c r="AO38" s="124"/>
      <c r="AP38" s="124"/>
      <c r="AS38" s="62">
        <f>AS34+1</f>
        <v>11</v>
      </c>
      <c r="AT38" s="4" t="s">
        <v>270</v>
      </c>
    </row>
    <row r="39" spans="2:79" ht="10.050000000000001" customHeight="1" x14ac:dyDescent="0.3">
      <c r="AL39" s="124"/>
      <c r="AM39" s="124"/>
      <c r="AN39" s="124"/>
      <c r="AO39" s="124"/>
      <c r="AP39" s="124"/>
    </row>
    <row r="40" spans="2:79" ht="15" customHeight="1" x14ac:dyDescent="0.3">
      <c r="B40" s="1" t="s">
        <v>11</v>
      </c>
      <c r="C40" s="1"/>
      <c r="D40" s="1"/>
      <c r="E40" s="1"/>
      <c r="F40" s="1"/>
      <c r="G40" s="1"/>
      <c r="H40" s="1"/>
      <c r="I40" s="1"/>
      <c r="J40" s="1"/>
      <c r="O40" s="2" t="s">
        <v>362</v>
      </c>
      <c r="P40" s="74"/>
      <c r="Q40" s="4" t="s">
        <v>363</v>
      </c>
      <c r="S40" s="74"/>
      <c r="T40" s="4" t="s">
        <v>364</v>
      </c>
      <c r="V40" s="74"/>
      <c r="W40" s="4" t="s">
        <v>365</v>
      </c>
      <c r="Y40" s="74"/>
      <c r="Z40" s="4" t="s">
        <v>366</v>
      </c>
      <c r="AL40" s="119">
        <f>IF(AND(ISBLANK(P40),ISBLANK(S40),ISBLANK(V40),ISBLANK(Y40)),1,2)</f>
        <v>1</v>
      </c>
      <c r="AS40" s="62">
        <f>AS38+1</f>
        <v>12</v>
      </c>
      <c r="AT40" s="4" t="s">
        <v>282</v>
      </c>
      <c r="AV40" s="62"/>
      <c r="AW40" s="62"/>
      <c r="AX40" s="62"/>
      <c r="AY40" s="62"/>
      <c r="AZ40" s="62"/>
      <c r="BA40" s="62"/>
      <c r="BB40" s="62"/>
      <c r="BC40" s="62"/>
      <c r="BD40" s="62"/>
      <c r="BE40" s="49"/>
      <c r="BF40" s="49"/>
      <c r="BG40" s="49"/>
      <c r="BH40" s="49"/>
      <c r="BI40" s="49"/>
      <c r="BJ40" s="49"/>
      <c r="BK40" s="49"/>
      <c r="BL40" s="49"/>
      <c r="BM40" s="49"/>
      <c r="BN40" s="49"/>
      <c r="BO40" s="49"/>
      <c r="BP40" s="49"/>
      <c r="BQ40" s="49"/>
      <c r="BR40" s="49"/>
      <c r="BS40" s="49"/>
      <c r="BT40" s="49"/>
      <c r="BU40" s="49"/>
      <c r="BV40" s="49"/>
      <c r="BW40" s="49"/>
      <c r="BX40" s="49"/>
      <c r="BY40" s="49"/>
      <c r="BZ40" s="49"/>
      <c r="CA40" s="49"/>
    </row>
    <row r="41" spans="2:79" s="56" customFormat="1" ht="15.6" hidden="1" x14ac:dyDescent="0.3">
      <c r="B41" s="57"/>
      <c r="C41" s="57"/>
      <c r="D41" s="57"/>
      <c r="E41" s="57"/>
      <c r="F41" s="57"/>
      <c r="G41" s="57"/>
      <c r="H41" s="57"/>
      <c r="I41" s="57"/>
      <c r="J41" s="57"/>
      <c r="L41" s="118">
        <f>IF(ISBLANK(L42),1,2)</f>
        <v>1</v>
      </c>
      <c r="P41" s="118">
        <f>IF(ISBLANK(P42),1,2)</f>
        <v>1</v>
      </c>
      <c r="T41" s="118">
        <f>IF(ISBLANK(T42),1,2)</f>
        <v>1</v>
      </c>
      <c r="X41" s="118">
        <f>IF(ISBLANK(X42),1,2)</f>
        <v>1</v>
      </c>
      <c r="AB41" s="118">
        <f>IF(ISBLANK(AB42),1,2)</f>
        <v>1</v>
      </c>
    </row>
    <row r="42" spans="2:79" ht="14.55" customHeight="1" x14ac:dyDescent="0.3">
      <c r="J42" s="2" t="s">
        <v>48</v>
      </c>
      <c r="L42" s="204"/>
      <c r="M42" s="204"/>
      <c r="N42" s="204"/>
      <c r="P42" s="204"/>
      <c r="Q42" s="204"/>
      <c r="R42" s="204"/>
      <c r="T42" s="204"/>
      <c r="U42" s="204"/>
      <c r="V42" s="204"/>
      <c r="X42" s="204"/>
      <c r="Y42" s="204"/>
      <c r="Z42" s="204"/>
      <c r="AB42" s="204"/>
      <c r="AC42" s="204"/>
      <c r="AD42" s="204"/>
      <c r="AG42" s="6" t="s">
        <v>12</v>
      </c>
      <c r="AH42" s="6"/>
      <c r="AI42" s="6"/>
      <c r="AT42" s="6" t="s">
        <v>96</v>
      </c>
      <c r="AU42" s="4" t="s">
        <v>287</v>
      </c>
    </row>
    <row r="43" spans="2:79" ht="14.55" customHeight="1" x14ac:dyDescent="0.3">
      <c r="J43" s="2" t="s">
        <v>142</v>
      </c>
      <c r="L43" s="169"/>
      <c r="M43" s="169"/>
      <c r="N43" s="169"/>
      <c r="P43" s="191"/>
      <c r="Q43" s="191"/>
      <c r="R43" s="191"/>
      <c r="T43" s="169"/>
      <c r="U43" s="169"/>
      <c r="V43" s="169"/>
      <c r="X43" s="169"/>
      <c r="Y43" s="169"/>
      <c r="Z43" s="169"/>
      <c r="AB43" s="169"/>
      <c r="AC43" s="169"/>
      <c r="AD43" s="169"/>
      <c r="AF43" s="191"/>
      <c r="AG43" s="191"/>
      <c r="AH43" s="191"/>
      <c r="AS43" s="62"/>
      <c r="AT43" s="6" t="s">
        <v>97</v>
      </c>
      <c r="AU43" s="4" t="s">
        <v>286</v>
      </c>
    </row>
    <row r="44" spans="2:79" ht="14.55" customHeight="1" x14ac:dyDescent="0.3">
      <c r="J44" s="2" t="s">
        <v>4</v>
      </c>
      <c r="L44" s="203"/>
      <c r="M44" s="203"/>
      <c r="N44" s="203"/>
      <c r="P44" s="203"/>
      <c r="Q44" s="203"/>
      <c r="R44" s="203"/>
      <c r="T44" s="203"/>
      <c r="U44" s="203"/>
      <c r="V44" s="203"/>
      <c r="X44" s="203"/>
      <c r="Y44" s="203"/>
      <c r="Z44" s="203"/>
      <c r="AB44" s="203"/>
      <c r="AC44" s="203"/>
      <c r="AD44" s="203"/>
      <c r="AF44" s="203"/>
      <c r="AG44" s="203"/>
      <c r="AH44" s="203"/>
      <c r="AT44" s="6" t="s">
        <v>112</v>
      </c>
      <c r="AU44" s="4" t="s">
        <v>396</v>
      </c>
    </row>
    <row r="45" spans="2:79" ht="14.55" customHeight="1" x14ac:dyDescent="0.3">
      <c r="J45" s="2" t="s">
        <v>51</v>
      </c>
      <c r="L45" s="196"/>
      <c r="M45" s="196"/>
      <c r="N45" s="196"/>
      <c r="P45" s="196"/>
      <c r="Q45" s="196"/>
      <c r="R45" s="196"/>
      <c r="T45" s="196"/>
      <c r="U45" s="196"/>
      <c r="V45" s="196"/>
      <c r="X45" s="196"/>
      <c r="Y45" s="196"/>
      <c r="Z45" s="196"/>
      <c r="AB45" s="196"/>
      <c r="AC45" s="196"/>
      <c r="AD45" s="196"/>
      <c r="AF45" s="196"/>
      <c r="AG45" s="196"/>
      <c r="AH45" s="196"/>
      <c r="AL45" s="125">
        <f>SUM(AL46:AL51)</f>
        <v>0</v>
      </c>
      <c r="AM45" s="119">
        <f>SUM(AM46:AM51)</f>
        <v>0</v>
      </c>
      <c r="AN45" s="56" t="s">
        <v>12</v>
      </c>
      <c r="AT45" s="6" t="s">
        <v>113</v>
      </c>
      <c r="AU45" s="4" t="s">
        <v>283</v>
      </c>
    </row>
    <row r="46" spans="2:79" ht="14.55" customHeight="1" x14ac:dyDescent="0.3">
      <c r="D46" s="210" t="s">
        <v>361</v>
      </c>
      <c r="E46" s="210"/>
      <c r="F46" s="170">
        <f>Tables!$C$16</f>
        <v>4.24</v>
      </c>
      <c r="G46" s="170"/>
      <c r="H46" s="13"/>
      <c r="I46" s="13"/>
      <c r="J46" s="2" t="str">
        <f>Tables!$A$16</f>
        <v>(2-yr)</v>
      </c>
      <c r="L46" s="191"/>
      <c r="M46" s="191"/>
      <c r="N46" s="191"/>
      <c r="O46" s="3"/>
      <c r="P46" s="191"/>
      <c r="Q46" s="191"/>
      <c r="R46" s="191"/>
      <c r="T46" s="191"/>
      <c r="U46" s="191"/>
      <c r="V46" s="191"/>
      <c r="X46" s="191"/>
      <c r="Y46" s="191"/>
      <c r="Z46" s="191"/>
      <c r="AB46" s="191"/>
      <c r="AC46" s="191"/>
      <c r="AD46" s="191"/>
      <c r="AF46" s="191"/>
      <c r="AG46" s="191"/>
      <c r="AH46" s="191"/>
      <c r="AL46" s="119"/>
      <c r="AM46" s="119">
        <f t="shared" ref="AM46:AM51" si="2">IF(ISBLANK(AF46),0,1)</f>
        <v>0</v>
      </c>
      <c r="AS46" s="48"/>
      <c r="AT46" s="6" t="s">
        <v>111</v>
      </c>
      <c r="AU46" s="4" t="s">
        <v>288</v>
      </c>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row>
    <row r="47" spans="2:79" ht="14.55" customHeight="1" x14ac:dyDescent="0.3">
      <c r="D47" s="210"/>
      <c r="E47" s="210"/>
      <c r="F47" s="170">
        <f>Tables!$C$17</f>
        <v>5.3</v>
      </c>
      <c r="G47" s="170"/>
      <c r="H47" s="13"/>
      <c r="I47" s="13"/>
      <c r="J47" s="2" t="str">
        <f>Tables!$A$17</f>
        <v>(5-yr)</v>
      </c>
      <c r="L47" s="169"/>
      <c r="M47" s="169"/>
      <c r="N47" s="169"/>
      <c r="O47" s="3"/>
      <c r="P47" s="169"/>
      <c r="Q47" s="169"/>
      <c r="R47" s="169"/>
      <c r="T47" s="169"/>
      <c r="U47" s="169"/>
      <c r="V47" s="169"/>
      <c r="X47" s="169"/>
      <c r="Y47" s="169"/>
      <c r="Z47" s="169"/>
      <c r="AB47" s="169"/>
      <c r="AC47" s="169"/>
      <c r="AD47" s="169"/>
      <c r="AF47" s="169"/>
      <c r="AG47" s="169"/>
      <c r="AH47" s="169"/>
      <c r="AL47" s="119">
        <f t="shared" ref="AL47:AL51" si="3">IF(AF47=0,0,1)</f>
        <v>0</v>
      </c>
      <c r="AM47" s="119">
        <f>IF(ISBLANK(AF47),0,1)</f>
        <v>0</v>
      </c>
      <c r="AS47" s="48"/>
      <c r="AT47" s="6" t="s">
        <v>114</v>
      </c>
      <c r="AU47" s="4" t="s">
        <v>289</v>
      </c>
      <c r="AV47" s="48"/>
      <c r="AW47" s="62"/>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row>
    <row r="48" spans="2:79" ht="14.55" customHeight="1" x14ac:dyDescent="0.3">
      <c r="D48" s="210"/>
      <c r="E48" s="210"/>
      <c r="F48" s="170">
        <f>Tables!$C$18</f>
        <v>6.24</v>
      </c>
      <c r="G48" s="170"/>
      <c r="H48" s="13"/>
      <c r="I48" s="13"/>
      <c r="J48" s="2" t="str">
        <f>Tables!$A$18</f>
        <v>(10-yr)</v>
      </c>
      <c r="L48" s="169"/>
      <c r="M48" s="169"/>
      <c r="N48" s="169"/>
      <c r="O48" s="3"/>
      <c r="P48" s="169"/>
      <c r="Q48" s="169"/>
      <c r="R48" s="169"/>
      <c r="T48" s="169"/>
      <c r="U48" s="169"/>
      <c r="V48" s="169"/>
      <c r="X48" s="169"/>
      <c r="Y48" s="169"/>
      <c r="Z48" s="169"/>
      <c r="AB48" s="169"/>
      <c r="AC48" s="169"/>
      <c r="AD48" s="169"/>
      <c r="AF48" s="169"/>
      <c r="AG48" s="169"/>
      <c r="AH48" s="169"/>
      <c r="AL48" s="119">
        <f t="shared" si="3"/>
        <v>0</v>
      </c>
      <c r="AM48" s="119">
        <f>IF(ISBLANK(AF48),0,1)</f>
        <v>0</v>
      </c>
      <c r="AT48" s="6" t="s">
        <v>290</v>
      </c>
      <c r="AU48" s="4" t="s">
        <v>284</v>
      </c>
    </row>
    <row r="49" spans="2:48" ht="14.55" customHeight="1" x14ac:dyDescent="0.3">
      <c r="D49" s="210"/>
      <c r="E49" s="210"/>
      <c r="F49" s="170">
        <f>Tables!$C$19</f>
        <v>7.64</v>
      </c>
      <c r="G49" s="170"/>
      <c r="H49" s="13"/>
      <c r="I49" s="13"/>
      <c r="J49" s="2" t="str">
        <f>Tables!$A$19</f>
        <v>(25-yr)</v>
      </c>
      <c r="L49" s="169"/>
      <c r="M49" s="169"/>
      <c r="N49" s="169"/>
      <c r="O49" s="3"/>
      <c r="P49" s="169"/>
      <c r="Q49" s="169"/>
      <c r="R49" s="169"/>
      <c r="T49" s="169"/>
      <c r="U49" s="169"/>
      <c r="V49" s="169"/>
      <c r="X49" s="169"/>
      <c r="Y49" s="169"/>
      <c r="Z49" s="169"/>
      <c r="AB49" s="169"/>
      <c r="AC49" s="169"/>
      <c r="AD49" s="169"/>
      <c r="AF49" s="169"/>
      <c r="AG49" s="169"/>
      <c r="AH49" s="169"/>
      <c r="AL49" s="119">
        <f t="shared" si="3"/>
        <v>0</v>
      </c>
      <c r="AM49" s="119">
        <f t="shared" si="2"/>
        <v>0</v>
      </c>
      <c r="AT49" s="6" t="s">
        <v>291</v>
      </c>
      <c r="AU49" s="4" t="s">
        <v>285</v>
      </c>
      <c r="AV49" s="62"/>
    </row>
    <row r="50" spans="2:48" ht="14.55" customHeight="1" x14ac:dyDescent="0.3">
      <c r="D50" s="210"/>
      <c r="E50" s="210"/>
      <c r="F50" s="170">
        <f>Tables!$C$20</f>
        <v>8.8000000000000007</v>
      </c>
      <c r="G50" s="170"/>
      <c r="H50" s="13"/>
      <c r="I50" s="13"/>
      <c r="J50" s="2" t="str">
        <f>Tables!$A$20</f>
        <v>(50-yr)</v>
      </c>
      <c r="L50" s="169"/>
      <c r="M50" s="169"/>
      <c r="N50" s="169"/>
      <c r="O50" s="3"/>
      <c r="P50" s="169"/>
      <c r="Q50" s="169"/>
      <c r="R50" s="169"/>
      <c r="T50" s="169"/>
      <c r="U50" s="169"/>
      <c r="V50" s="169"/>
      <c r="X50" s="169"/>
      <c r="Y50" s="169"/>
      <c r="Z50" s="169"/>
      <c r="AB50" s="169"/>
      <c r="AC50" s="169"/>
      <c r="AD50" s="169"/>
      <c r="AF50" s="169"/>
      <c r="AG50" s="169"/>
      <c r="AH50" s="169"/>
      <c r="AL50" s="119">
        <f t="shared" si="3"/>
        <v>0</v>
      </c>
      <c r="AM50" s="119">
        <f t="shared" si="2"/>
        <v>0</v>
      </c>
    </row>
    <row r="51" spans="2:48" ht="14.55" customHeight="1" x14ac:dyDescent="0.3">
      <c r="D51" s="210"/>
      <c r="E51" s="210"/>
      <c r="F51" s="170">
        <f>Tables!$C$21</f>
        <v>10</v>
      </c>
      <c r="G51" s="170"/>
      <c r="H51" s="13"/>
      <c r="I51" s="13"/>
      <c r="J51" s="2" t="str">
        <f>Tables!$A$21</f>
        <v>(100-yr)</v>
      </c>
      <c r="L51" s="169"/>
      <c r="M51" s="169"/>
      <c r="N51" s="169"/>
      <c r="O51" s="3"/>
      <c r="P51" s="169"/>
      <c r="Q51" s="169"/>
      <c r="R51" s="169"/>
      <c r="T51" s="169"/>
      <c r="U51" s="169"/>
      <c r="V51" s="169"/>
      <c r="X51" s="169"/>
      <c r="Y51" s="169"/>
      <c r="Z51" s="169"/>
      <c r="AB51" s="169"/>
      <c r="AC51" s="169"/>
      <c r="AD51" s="169"/>
      <c r="AF51" s="169"/>
      <c r="AG51" s="169"/>
      <c r="AH51" s="169"/>
      <c r="AL51" s="119">
        <f t="shared" si="3"/>
        <v>0</v>
      </c>
      <c r="AM51" s="119">
        <f t="shared" si="2"/>
        <v>0</v>
      </c>
    </row>
    <row r="52" spans="2:48" ht="10.050000000000001" customHeight="1" x14ac:dyDescent="0.3"/>
    <row r="53" spans="2:48" ht="15" customHeight="1" x14ac:dyDescent="0.3">
      <c r="J53" s="2" t="s">
        <v>367</v>
      </c>
      <c r="K53" s="74"/>
      <c r="L53" s="4" t="s">
        <v>129</v>
      </c>
      <c r="N53" s="74"/>
      <c r="O53" s="4" t="s">
        <v>130</v>
      </c>
      <c r="V53" s="2" t="s">
        <v>368</v>
      </c>
      <c r="W53" s="74"/>
      <c r="X53" s="4" t="s">
        <v>129</v>
      </c>
      <c r="Z53" s="74"/>
      <c r="AA53" s="4" t="s">
        <v>130</v>
      </c>
      <c r="AL53" s="119">
        <f>IF(AND(ISBLANK(K53),ISBLANK(N53)),1,2)</f>
        <v>1</v>
      </c>
      <c r="AM53" s="119">
        <f>IF(ISBLANK(K53),1,2)</f>
        <v>1</v>
      </c>
      <c r="AN53" s="119">
        <f>IF(AND(ISBLANK(W53),ISBLANK(Z53)),1,2)</f>
        <v>1</v>
      </c>
      <c r="AO53" s="119">
        <f>IF(ISBLANK(W53),1,2)</f>
        <v>1</v>
      </c>
      <c r="AP53" s="101"/>
    </row>
    <row r="54" spans="2:48" ht="15" customHeight="1" x14ac:dyDescent="0.3">
      <c r="AL54" s="101"/>
      <c r="AM54" s="101"/>
      <c r="AN54" s="101"/>
      <c r="AO54" s="101"/>
      <c r="AP54" s="101"/>
    </row>
    <row r="55" spans="2:48" ht="15" customHeight="1" x14ac:dyDescent="0.3">
      <c r="B55" s="167">
        <f>Tables!$C$13</f>
        <v>45566</v>
      </c>
      <c r="C55" s="167"/>
      <c r="D55" s="167"/>
      <c r="E55" s="167"/>
      <c r="F55" s="167"/>
      <c r="G55" s="96"/>
      <c r="H55" s="96"/>
      <c r="I55" s="96"/>
      <c r="R55" s="6" t="s">
        <v>279</v>
      </c>
    </row>
    <row r="56" spans="2:48" ht="15" customHeight="1" x14ac:dyDescent="0.3">
      <c r="C56" s="2" t="s">
        <v>145</v>
      </c>
      <c r="D56" s="171">
        <f>IF(ISBLANK($E$13),0,$E$13)</f>
        <v>0</v>
      </c>
      <c r="E56" s="171"/>
      <c r="F56" s="171"/>
      <c r="G56" s="171"/>
      <c r="H56" s="171"/>
      <c r="I56" s="171"/>
      <c r="J56" s="171"/>
      <c r="K56" s="171"/>
      <c r="L56" s="171"/>
      <c r="M56" s="171"/>
      <c r="N56" s="171"/>
      <c r="O56" s="171"/>
      <c r="P56" s="171"/>
      <c r="Q56" s="171"/>
      <c r="R56" s="171"/>
      <c r="S56" s="171"/>
      <c r="T56" s="171"/>
      <c r="U56" s="171"/>
      <c r="V56" s="171"/>
      <c r="W56" s="171"/>
      <c r="X56" s="171"/>
      <c r="Y56" s="171"/>
      <c r="AD56" s="2" t="s">
        <v>172</v>
      </c>
      <c r="AE56" s="172">
        <f>IF(ISBLANK($AE$13),0,$AE$13)</f>
        <v>0</v>
      </c>
      <c r="AF56" s="172"/>
      <c r="AG56" s="172"/>
      <c r="AH56" s="172"/>
      <c r="AI56" s="172"/>
      <c r="AJ56" s="172"/>
      <c r="AS56" s="62">
        <v>13</v>
      </c>
      <c r="AT56" s="4" t="s">
        <v>400</v>
      </c>
    </row>
    <row r="57" spans="2:48" ht="15" customHeight="1" x14ac:dyDescent="0.3">
      <c r="B57" s="207" t="s">
        <v>14</v>
      </c>
      <c r="C57" s="207"/>
      <c r="D57" s="207"/>
      <c r="E57" s="207"/>
      <c r="F57" s="207"/>
      <c r="G57" s="207"/>
      <c r="H57" s="207"/>
      <c r="I57" s="207"/>
      <c r="J57" s="207"/>
      <c r="K57" s="2"/>
      <c r="L57" s="2"/>
      <c r="M57" s="2"/>
      <c r="N57" s="2"/>
      <c r="O57" s="3"/>
      <c r="P57" s="8"/>
      <c r="Q57" s="8"/>
      <c r="R57" s="8"/>
      <c r="S57" s="8"/>
      <c r="T57" s="8"/>
      <c r="U57" s="8"/>
      <c r="V57" s="8"/>
      <c r="W57" s="8"/>
      <c r="X57" s="8"/>
      <c r="Y57" s="8"/>
      <c r="Z57" s="8"/>
      <c r="AA57" s="8"/>
      <c r="AB57" s="8"/>
      <c r="AC57" s="8"/>
      <c r="AD57" s="2" t="s">
        <v>173</v>
      </c>
      <c r="AE57" s="168">
        <f>IF(ISBLANK($AE$14),0,$AE$14)</f>
        <v>0</v>
      </c>
      <c r="AF57" s="168"/>
      <c r="AG57" s="168"/>
      <c r="AH57" s="168"/>
      <c r="AI57" s="168"/>
      <c r="AJ57" s="168"/>
    </row>
    <row r="58" spans="2:48" s="22" customFormat="1" ht="4.95" customHeight="1" x14ac:dyDescent="0.3">
      <c r="B58" s="207"/>
      <c r="C58" s="207"/>
      <c r="D58" s="207"/>
      <c r="E58" s="207"/>
      <c r="F58" s="207"/>
      <c r="G58" s="207"/>
      <c r="H58" s="207"/>
      <c r="I58" s="207"/>
      <c r="J58" s="207"/>
      <c r="AL58" s="60"/>
      <c r="AM58" s="60"/>
      <c r="AN58" s="60"/>
      <c r="AO58" s="60"/>
      <c r="AP58" s="60"/>
      <c r="AQ58" s="60"/>
    </row>
    <row r="59" spans="2:48" ht="15" customHeight="1" x14ac:dyDescent="0.3">
      <c r="C59" s="2"/>
      <c r="D59" s="2" t="s">
        <v>236</v>
      </c>
      <c r="E59" s="184"/>
      <c r="F59" s="184"/>
      <c r="G59" s="184"/>
      <c r="H59" s="184"/>
      <c r="M59" s="2" t="s">
        <v>241</v>
      </c>
      <c r="N59" s="184"/>
      <c r="O59" s="184"/>
      <c r="P59" s="184"/>
      <c r="Q59" s="184"/>
      <c r="AE59" s="2" t="s">
        <v>153</v>
      </c>
      <c r="AF59" s="74"/>
      <c r="AG59" s="4" t="s">
        <v>129</v>
      </c>
      <c r="AI59" s="74"/>
      <c r="AJ59" s="4" t="s">
        <v>130</v>
      </c>
      <c r="AL59" s="119">
        <f>IF(AND(ISBLANK(AF59),ISBLANK(AI59)),1,2)</f>
        <v>1</v>
      </c>
    </row>
    <row r="60" spans="2:48" ht="15" customHeight="1" x14ac:dyDescent="0.3">
      <c r="C60" s="2"/>
      <c r="D60" s="2" t="s">
        <v>237</v>
      </c>
      <c r="E60" s="196"/>
      <c r="F60" s="196"/>
      <c r="G60" s="196"/>
      <c r="H60" s="4" t="s">
        <v>43</v>
      </c>
      <c r="AL60" s="119">
        <f>IF(ISBLANK(E60),1,2)</f>
        <v>1</v>
      </c>
    </row>
    <row r="61" spans="2:48" ht="15" customHeight="1" x14ac:dyDescent="0.3">
      <c r="C61" s="2"/>
      <c r="D61" s="2" t="s">
        <v>238</v>
      </c>
      <c r="E61" s="196"/>
      <c r="F61" s="196"/>
      <c r="G61" s="196"/>
      <c r="H61" s="4" t="s">
        <v>43</v>
      </c>
      <c r="M61" s="2" t="s">
        <v>242</v>
      </c>
      <c r="N61" s="192"/>
      <c r="O61" s="192"/>
      <c r="P61" s="192"/>
      <c r="Q61" s="4" t="s">
        <v>43</v>
      </c>
      <c r="AL61" s="119">
        <f>IF(AND(ISBLANK(E61),ISBLANK(N61)),1,2)</f>
        <v>1</v>
      </c>
    </row>
    <row r="62" spans="2:48" ht="15" customHeight="1" x14ac:dyDescent="0.3">
      <c r="C62" s="2"/>
      <c r="D62" s="2" t="s">
        <v>239</v>
      </c>
      <c r="E62" s="196"/>
      <c r="F62" s="196"/>
      <c r="G62" s="196"/>
      <c r="H62" s="4" t="s">
        <v>43</v>
      </c>
      <c r="M62" s="2" t="s">
        <v>243</v>
      </c>
      <c r="N62" s="196"/>
      <c r="O62" s="196"/>
      <c r="P62" s="196"/>
      <c r="Q62" s="4" t="s">
        <v>43</v>
      </c>
    </row>
    <row r="63" spans="2:48" ht="4.95" customHeight="1" x14ac:dyDescent="0.3">
      <c r="C63" s="2"/>
      <c r="D63" s="2"/>
      <c r="E63" s="2"/>
      <c r="F63" s="14"/>
      <c r="G63" s="14"/>
      <c r="H63" s="14"/>
      <c r="I63" s="14"/>
      <c r="O63" s="2"/>
      <c r="P63" s="13"/>
      <c r="Q63" s="13"/>
      <c r="R63" s="13"/>
      <c r="S63" s="13"/>
    </row>
    <row r="64" spans="2:48" ht="15" customHeight="1" x14ac:dyDescent="0.3">
      <c r="C64" s="2"/>
      <c r="D64" s="2" t="s">
        <v>240</v>
      </c>
      <c r="E64" s="74"/>
      <c r="F64" s="4" t="s">
        <v>129</v>
      </c>
      <c r="I64" s="74"/>
      <c r="J64" s="4" t="s">
        <v>130</v>
      </c>
      <c r="AL64" s="119">
        <f>IF(AND(ISBLANK(E64),ISBLANK(I64)),1,2)</f>
        <v>1</v>
      </c>
      <c r="AM64" s="119">
        <f>IF(ISBLANK(I64),1,2)</f>
        <v>1</v>
      </c>
    </row>
    <row r="65" spans="2:40" ht="4.95" customHeight="1" x14ac:dyDescent="0.3">
      <c r="B65" s="2"/>
      <c r="C65" s="2"/>
      <c r="D65" s="2"/>
      <c r="E65" s="2"/>
    </row>
    <row r="66" spans="2:40" ht="15" customHeight="1" x14ac:dyDescent="0.3">
      <c r="F66" s="6" t="s">
        <v>33</v>
      </c>
      <c r="G66" s="6"/>
      <c r="H66" s="6"/>
      <c r="I66" s="6"/>
      <c r="J66" s="6" t="s">
        <v>264</v>
      </c>
      <c r="K66" s="6"/>
      <c r="L66" s="6"/>
      <c r="M66" s="6"/>
      <c r="N66" s="6"/>
      <c r="O66" s="6" t="s">
        <v>265</v>
      </c>
      <c r="P66" s="6"/>
      <c r="Q66" s="6"/>
      <c r="R66" s="6"/>
      <c r="T66" s="6" t="s">
        <v>41</v>
      </c>
      <c r="U66" s="6"/>
      <c r="V66" s="6"/>
      <c r="Y66" s="6" t="s">
        <v>78</v>
      </c>
      <c r="Z66" s="6"/>
      <c r="AA66" s="6"/>
      <c r="AD66" s="6" t="s">
        <v>340</v>
      </c>
      <c r="AE66" s="6"/>
      <c r="AF66" s="6"/>
    </row>
    <row r="67" spans="2:40" ht="15" customHeight="1" x14ac:dyDescent="0.3">
      <c r="C67" s="2"/>
      <c r="D67" s="2" t="s">
        <v>253</v>
      </c>
      <c r="E67" s="184"/>
      <c r="F67" s="184"/>
      <c r="G67" s="184"/>
      <c r="H67" s="6"/>
      <c r="I67" s="192"/>
      <c r="J67" s="192"/>
      <c r="K67" s="192"/>
      <c r="L67" s="4" t="s">
        <v>42</v>
      </c>
      <c r="M67" s="6"/>
      <c r="N67" s="192"/>
      <c r="O67" s="192"/>
      <c r="P67" s="192"/>
      <c r="Q67" s="4" t="s">
        <v>42</v>
      </c>
      <c r="R67" s="13"/>
      <c r="S67" s="192"/>
      <c r="T67" s="192"/>
      <c r="U67" s="192"/>
      <c r="V67" s="4" t="s">
        <v>43</v>
      </c>
      <c r="X67" s="192"/>
      <c r="Y67" s="192"/>
      <c r="Z67" s="192"/>
      <c r="AA67" s="4" t="s">
        <v>43</v>
      </c>
      <c r="AC67" s="192"/>
      <c r="AD67" s="192"/>
      <c r="AE67" s="192"/>
      <c r="AF67" s="4" t="s">
        <v>336</v>
      </c>
      <c r="AL67" s="119">
        <f>IF(ISBLANK(E67),1,2)</f>
        <v>1</v>
      </c>
    </row>
    <row r="68" spans="2:40" ht="15" customHeight="1" x14ac:dyDescent="0.3">
      <c r="C68" s="2"/>
      <c r="D68" s="2" t="s">
        <v>254</v>
      </c>
      <c r="E68" s="185"/>
      <c r="F68" s="185"/>
      <c r="G68" s="185"/>
      <c r="H68" s="6"/>
      <c r="I68" s="196"/>
      <c r="J68" s="196"/>
      <c r="K68" s="196"/>
      <c r="L68" s="4" t="str">
        <f>IF(E68="V-notch","deg","in")</f>
        <v>in</v>
      </c>
      <c r="M68" s="6"/>
      <c r="N68" s="196"/>
      <c r="O68" s="196"/>
      <c r="P68" s="196"/>
      <c r="Q68" s="4" t="s">
        <v>42</v>
      </c>
      <c r="R68" s="13"/>
      <c r="S68" s="196"/>
      <c r="T68" s="196"/>
      <c r="U68" s="196"/>
      <c r="V68" s="4" t="s">
        <v>43</v>
      </c>
      <c r="X68" s="6"/>
      <c r="AL68" s="119">
        <f>IF(ISBLANK(E68),1,2)</f>
        <v>1</v>
      </c>
    </row>
    <row r="69" spans="2:40" ht="4.95" customHeight="1" x14ac:dyDescent="0.3">
      <c r="C69" s="2"/>
      <c r="D69" s="2"/>
      <c r="E69" s="2"/>
      <c r="K69" s="13"/>
      <c r="L69" s="13"/>
      <c r="M69" s="13"/>
      <c r="N69" s="6"/>
      <c r="P69" s="13"/>
      <c r="Q69" s="13"/>
      <c r="R69" s="13"/>
      <c r="S69" s="13"/>
      <c r="U69" s="13"/>
      <c r="V69" s="13"/>
      <c r="W69" s="13"/>
      <c r="X69" s="6"/>
    </row>
    <row r="70" spans="2:40" ht="15" customHeight="1" x14ac:dyDescent="0.3">
      <c r="C70" s="2"/>
      <c r="D70" s="2" t="s">
        <v>318</v>
      </c>
      <c r="E70" s="74"/>
      <c r="F70" s="4" t="s">
        <v>129</v>
      </c>
      <c r="I70" s="74"/>
      <c r="J70" s="4" t="s">
        <v>130</v>
      </c>
      <c r="AL70" s="119">
        <f>IF(AND(ISBLANK(E70),ISBLANK(I70)),1,2)</f>
        <v>1</v>
      </c>
      <c r="AM70" s="119">
        <f>IF(ISBLANK(I70),1,2)</f>
        <v>1</v>
      </c>
    </row>
    <row r="71" spans="2:40" ht="4.95" customHeight="1" x14ac:dyDescent="0.3">
      <c r="B71" s="2"/>
      <c r="C71" s="2"/>
      <c r="D71" s="2"/>
      <c r="E71" s="2"/>
    </row>
    <row r="72" spans="2:40" ht="15" customHeight="1" x14ac:dyDescent="0.3">
      <c r="B72" s="198" t="s">
        <v>244</v>
      </c>
      <c r="C72" s="198"/>
      <c r="D72" s="198"/>
      <c r="E72" s="184"/>
      <c r="F72" s="184"/>
      <c r="G72" s="184"/>
      <c r="I72" s="192"/>
      <c r="J72" s="192"/>
      <c r="K72" s="192"/>
      <c r="L72" s="4" t="str">
        <f>IF(E72="V-notch","deg","in")</f>
        <v>in</v>
      </c>
      <c r="N72" s="192"/>
      <c r="O72" s="192"/>
      <c r="P72" s="192"/>
      <c r="Q72" s="4" t="s">
        <v>42</v>
      </c>
      <c r="R72" s="13"/>
      <c r="S72" s="192"/>
      <c r="T72" s="192"/>
      <c r="U72" s="192"/>
      <c r="V72" s="4" t="s">
        <v>43</v>
      </c>
      <c r="AL72" s="119">
        <f>IF(B72="None: ",3,IF(OR(B72="Orifice: ",B72="Weir: "),2,1))</f>
        <v>1</v>
      </c>
    </row>
    <row r="73" spans="2:40" ht="15" customHeight="1" x14ac:dyDescent="0.3">
      <c r="B73" s="198" t="s">
        <v>244</v>
      </c>
      <c r="C73" s="198"/>
      <c r="D73" s="198"/>
      <c r="E73" s="184"/>
      <c r="F73" s="184"/>
      <c r="G73" s="184"/>
      <c r="I73" s="196"/>
      <c r="J73" s="196"/>
      <c r="K73" s="196"/>
      <c r="L73" s="4" t="str">
        <f>IF(E73="V-notch","deg","in")</f>
        <v>in</v>
      </c>
      <c r="N73" s="196"/>
      <c r="O73" s="196"/>
      <c r="P73" s="196"/>
      <c r="Q73" s="4" t="s">
        <v>42</v>
      </c>
      <c r="R73" s="13"/>
      <c r="S73" s="196"/>
      <c r="T73" s="196"/>
      <c r="U73" s="196"/>
      <c r="V73" s="4" t="s">
        <v>43</v>
      </c>
      <c r="AL73" s="119">
        <f t="shared" ref="AL73:AL78" si="4">IF(B73="None: ",3,IF(OR(B73="Orifice: ",B73="Weir: "),2,1))</f>
        <v>1</v>
      </c>
    </row>
    <row r="74" spans="2:40" ht="15" customHeight="1" x14ac:dyDescent="0.3">
      <c r="B74" s="198" t="s">
        <v>244</v>
      </c>
      <c r="C74" s="198"/>
      <c r="D74" s="198"/>
      <c r="E74" s="185"/>
      <c r="F74" s="185"/>
      <c r="G74" s="185"/>
      <c r="I74" s="196"/>
      <c r="J74" s="196"/>
      <c r="K74" s="196"/>
      <c r="L74" s="4" t="str">
        <f>IF(E74="V-notch","deg","in")</f>
        <v>in</v>
      </c>
      <c r="N74" s="196"/>
      <c r="O74" s="196"/>
      <c r="P74" s="196"/>
      <c r="Q74" s="4" t="s">
        <v>42</v>
      </c>
      <c r="R74" s="13"/>
      <c r="S74" s="196"/>
      <c r="T74" s="196"/>
      <c r="U74" s="196"/>
      <c r="V74" s="4" t="s">
        <v>43</v>
      </c>
      <c r="AL74" s="119">
        <f t="shared" si="4"/>
        <v>1</v>
      </c>
    </row>
    <row r="75" spans="2:40" ht="15" customHeight="1" x14ac:dyDescent="0.3">
      <c r="B75" s="198" t="s">
        <v>244</v>
      </c>
      <c r="C75" s="198"/>
      <c r="D75" s="198"/>
      <c r="E75" s="184"/>
      <c r="F75" s="184"/>
      <c r="G75" s="184"/>
      <c r="I75" s="196"/>
      <c r="J75" s="196"/>
      <c r="K75" s="196"/>
      <c r="L75" s="4" t="str">
        <f>IF(E75="V-notch","deg","in")</f>
        <v>in</v>
      </c>
      <c r="N75" s="196"/>
      <c r="O75" s="196"/>
      <c r="P75" s="196"/>
      <c r="Q75" s="4" t="s">
        <v>42</v>
      </c>
      <c r="R75" s="13"/>
      <c r="S75" s="196"/>
      <c r="T75" s="196"/>
      <c r="U75" s="196"/>
      <c r="V75" s="4" t="s">
        <v>43</v>
      </c>
      <c r="AL75" s="119">
        <f t="shared" si="4"/>
        <v>1</v>
      </c>
    </row>
    <row r="76" spans="2:40" ht="15" customHeight="1" x14ac:dyDescent="0.3">
      <c r="B76" s="198" t="s">
        <v>244</v>
      </c>
      <c r="C76" s="198"/>
      <c r="D76" s="198"/>
      <c r="E76" s="184"/>
      <c r="F76" s="184"/>
      <c r="G76" s="184"/>
      <c r="I76" s="196"/>
      <c r="J76" s="196"/>
      <c r="K76" s="196"/>
      <c r="L76" s="4" t="str">
        <f t="shared" ref="L76" si="5">IF(E76="V-notch","deg","in")</f>
        <v>in</v>
      </c>
      <c r="N76" s="196"/>
      <c r="O76" s="196"/>
      <c r="P76" s="196"/>
      <c r="Q76" s="4" t="s">
        <v>42</v>
      </c>
      <c r="R76" s="13"/>
      <c r="S76" s="196"/>
      <c r="T76" s="196"/>
      <c r="U76" s="196"/>
      <c r="V76" s="4" t="s">
        <v>43</v>
      </c>
      <c r="AL76" s="119">
        <f t="shared" si="4"/>
        <v>1</v>
      </c>
    </row>
    <row r="77" spans="2:40" ht="15" customHeight="1" x14ac:dyDescent="0.3">
      <c r="B77" s="198" t="s">
        <v>244</v>
      </c>
      <c r="C77" s="198"/>
      <c r="D77" s="198"/>
      <c r="E77" s="184"/>
      <c r="F77" s="184"/>
      <c r="G77" s="184"/>
      <c r="I77" s="196"/>
      <c r="J77" s="196"/>
      <c r="K77" s="196"/>
      <c r="L77" s="4" t="str">
        <f>IF(E77="V-notch","deg","in")</f>
        <v>in</v>
      </c>
      <c r="N77" s="196"/>
      <c r="O77" s="196"/>
      <c r="P77" s="196"/>
      <c r="Q77" s="4" t="s">
        <v>42</v>
      </c>
      <c r="R77" s="13"/>
      <c r="S77" s="196"/>
      <c r="T77" s="196"/>
      <c r="U77" s="196"/>
      <c r="V77" s="4" t="s">
        <v>43</v>
      </c>
      <c r="AL77" s="119">
        <f t="shared" si="4"/>
        <v>1</v>
      </c>
    </row>
    <row r="78" spans="2:40" ht="15" customHeight="1" x14ac:dyDescent="0.3">
      <c r="B78" s="198" t="s">
        <v>244</v>
      </c>
      <c r="C78" s="198"/>
      <c r="D78" s="198"/>
      <c r="E78" s="185"/>
      <c r="F78" s="185"/>
      <c r="G78" s="185"/>
      <c r="I78" s="196"/>
      <c r="J78" s="196"/>
      <c r="K78" s="196"/>
      <c r="L78" s="4" t="str">
        <f>IF(E78="V-notch","deg","in")</f>
        <v>in</v>
      </c>
      <c r="N78" s="196"/>
      <c r="O78" s="196"/>
      <c r="P78" s="196"/>
      <c r="Q78" s="4" t="s">
        <v>42</v>
      </c>
      <c r="R78" s="13"/>
      <c r="S78" s="196"/>
      <c r="T78" s="196"/>
      <c r="U78" s="196"/>
      <c r="V78" s="4" t="s">
        <v>43</v>
      </c>
      <c r="AL78" s="119">
        <f t="shared" si="4"/>
        <v>1</v>
      </c>
    </row>
    <row r="79" spans="2:40" ht="15" customHeight="1" x14ac:dyDescent="0.3"/>
    <row r="80" spans="2:40" ht="15" customHeight="1" x14ac:dyDescent="0.3">
      <c r="B80" s="1" t="s">
        <v>15</v>
      </c>
      <c r="C80" s="1"/>
      <c r="D80" s="1"/>
      <c r="E80" s="1"/>
      <c r="F80" s="1"/>
      <c r="G80" s="1"/>
      <c r="H80" s="1"/>
      <c r="I80" s="1"/>
      <c r="J80" s="1"/>
      <c r="AE80" s="2" t="s">
        <v>153</v>
      </c>
      <c r="AF80" s="74"/>
      <c r="AG80" s="4" t="s">
        <v>129</v>
      </c>
      <c r="AI80" s="74"/>
      <c r="AJ80" s="16" t="s">
        <v>154</v>
      </c>
      <c r="AL80" s="126">
        <f>IF(AND(ISBLANK(AF80),ISBLANK(AI80)),1,2)</f>
        <v>1</v>
      </c>
      <c r="AM80" s="119">
        <f>SUM(AM81:AM83,AO81:AO83)</f>
        <v>2</v>
      </c>
      <c r="AN80" s="56" t="s">
        <v>81</v>
      </c>
    </row>
    <row r="81" spans="2:42" ht="15" customHeight="1" x14ac:dyDescent="0.3">
      <c r="C81" s="2"/>
      <c r="E81" s="2" t="s">
        <v>236</v>
      </c>
      <c r="F81" s="184"/>
      <c r="G81" s="184"/>
      <c r="H81" s="184"/>
      <c r="I81" s="184"/>
      <c r="N81" s="2" t="s">
        <v>241</v>
      </c>
      <c r="O81" s="184"/>
      <c r="P81" s="184"/>
      <c r="Q81" s="184"/>
      <c r="AL81" s="59" t="s">
        <v>50</v>
      </c>
      <c r="AM81" s="119">
        <f>IF(ISBLANK(F82),0,1)</f>
        <v>0</v>
      </c>
      <c r="AN81" s="59" t="s">
        <v>23</v>
      </c>
      <c r="AO81" s="119">
        <f>IF(ISBLANK(E81),0,1)</f>
        <v>1</v>
      </c>
    </row>
    <row r="82" spans="2:42" ht="15" customHeight="1" x14ac:dyDescent="0.3">
      <c r="C82" s="2"/>
      <c r="E82" s="2" t="s">
        <v>238</v>
      </c>
      <c r="F82" s="196"/>
      <c r="G82" s="196"/>
      <c r="H82" s="196"/>
      <c r="I82" s="4" t="s">
        <v>43</v>
      </c>
      <c r="N82" s="2" t="s">
        <v>242</v>
      </c>
      <c r="O82" s="196"/>
      <c r="P82" s="196"/>
      <c r="Q82" s="196"/>
      <c r="R82" s="4" t="s">
        <v>43</v>
      </c>
      <c r="V82" s="2" t="s">
        <v>247</v>
      </c>
      <c r="W82" s="192"/>
      <c r="X82" s="192"/>
      <c r="Y82" s="192"/>
      <c r="Z82" s="4" t="s">
        <v>43</v>
      </c>
      <c r="AE82" s="2" t="s">
        <v>248</v>
      </c>
      <c r="AF82" s="192"/>
      <c r="AG82" s="192"/>
      <c r="AH82" s="192"/>
      <c r="AI82" s="4" t="s">
        <v>43</v>
      </c>
      <c r="AL82" s="59" t="s">
        <v>78</v>
      </c>
      <c r="AM82" s="119">
        <f>IF(ISBLANK(O82),0,1)</f>
        <v>0</v>
      </c>
      <c r="AN82" s="59" t="s">
        <v>33</v>
      </c>
      <c r="AO82" s="119">
        <f>IF(ISBLANK(N81),0,1)</f>
        <v>1</v>
      </c>
    </row>
    <row r="83" spans="2:42" ht="15" customHeight="1" x14ac:dyDescent="0.3">
      <c r="B83" s="2"/>
      <c r="C83" s="2"/>
      <c r="D83" s="2"/>
      <c r="E83" s="2"/>
      <c r="F83" s="2"/>
      <c r="G83" s="2"/>
      <c r="H83" s="2"/>
      <c r="I83" s="2"/>
      <c r="J83" s="2"/>
      <c r="K83" s="2"/>
      <c r="L83" s="2"/>
      <c r="M83" s="2"/>
      <c r="N83" s="2"/>
      <c r="P83" s="2"/>
      <c r="Q83" s="2"/>
      <c r="R83" s="2"/>
      <c r="S83" s="2"/>
      <c r="T83" s="2"/>
      <c r="U83" s="2"/>
      <c r="V83" s="2"/>
      <c r="W83" s="2"/>
      <c r="X83" s="2"/>
      <c r="Z83" s="2"/>
      <c r="AA83" s="2"/>
      <c r="AB83" s="2"/>
      <c r="AC83" s="2"/>
      <c r="AD83" s="2"/>
      <c r="AE83" s="2"/>
      <c r="AF83" s="2"/>
      <c r="AG83" s="2"/>
      <c r="AH83" s="2"/>
      <c r="AI83" s="2"/>
      <c r="AJ83" s="2"/>
      <c r="AK83" s="2"/>
      <c r="AL83" s="59" t="s">
        <v>79</v>
      </c>
      <c r="AM83" s="119">
        <f>IF(ISBLANK(W82),0,1)</f>
        <v>0</v>
      </c>
      <c r="AN83" s="59" t="s">
        <v>80</v>
      </c>
      <c r="AO83" s="119">
        <f>IF(ISBLANK(AF82),0,1)</f>
        <v>0</v>
      </c>
    </row>
    <row r="84" spans="2:42" ht="15" customHeight="1" x14ac:dyDescent="0.3">
      <c r="B84" s="1" t="s">
        <v>16</v>
      </c>
      <c r="C84" s="1"/>
      <c r="D84" s="1"/>
      <c r="E84" s="1"/>
      <c r="N84" s="10" t="s">
        <v>174</v>
      </c>
      <c r="O84" s="199"/>
      <c r="P84" s="199"/>
      <c r="Q84" s="199"/>
      <c r="R84" s="199"/>
      <c r="V84" s="2" t="s">
        <v>175</v>
      </c>
      <c r="W84" s="200"/>
      <c r="X84" s="200"/>
      <c r="Y84" s="200"/>
      <c r="Z84" s="200"/>
      <c r="AL84" s="59"/>
      <c r="AN84" s="59"/>
      <c r="AO84" s="59"/>
      <c r="AP84" s="59"/>
    </row>
    <row r="85" spans="2:42" ht="15" customHeight="1" x14ac:dyDescent="0.3">
      <c r="B85" s="1"/>
      <c r="C85" s="1"/>
      <c r="D85" s="1"/>
      <c r="E85" s="1"/>
      <c r="AL85" s="59" t="s">
        <v>157</v>
      </c>
      <c r="AM85" s="119">
        <f>AM86+AO86</f>
        <v>0</v>
      </c>
      <c r="AN85" s="59"/>
      <c r="AO85" s="59"/>
      <c r="AP85" s="59"/>
    </row>
    <row r="86" spans="2:42" ht="19.95" customHeight="1" x14ac:dyDescent="0.3">
      <c r="B86" s="1" t="s">
        <v>408</v>
      </c>
      <c r="C86" s="1"/>
      <c r="D86" s="1"/>
      <c r="E86" s="1"/>
      <c r="F86" s="1"/>
      <c r="G86" s="1"/>
      <c r="H86" s="1"/>
      <c r="I86" s="1"/>
      <c r="J86" s="1"/>
      <c r="AL86" s="59" t="s">
        <v>155</v>
      </c>
      <c r="AM86" s="119">
        <f>IF(ISBLANK(O84),0,1)</f>
        <v>0</v>
      </c>
      <c r="AN86" s="59" t="s">
        <v>156</v>
      </c>
      <c r="AO86" s="119">
        <f>IF(ISBLANK(W84),0,1)</f>
        <v>0</v>
      </c>
      <c r="AP86" s="59"/>
    </row>
    <row r="87" spans="2:42" ht="15" customHeight="1" x14ac:dyDescent="0.3">
      <c r="D87" s="6" t="s">
        <v>17</v>
      </c>
      <c r="G87" s="6"/>
      <c r="H87" s="6"/>
      <c r="I87" s="6" t="s">
        <v>18</v>
      </c>
      <c r="L87" s="6"/>
      <c r="M87" s="4" t="s">
        <v>49</v>
      </c>
      <c r="N87" s="6"/>
      <c r="T87" s="6" t="s">
        <v>17</v>
      </c>
      <c r="Y87" s="6" t="s">
        <v>18</v>
      </c>
      <c r="AA87" s="6"/>
      <c r="AB87" s="6"/>
      <c r="AC87" s="6"/>
      <c r="AD87" s="4" t="s">
        <v>49</v>
      </c>
      <c r="AF87" s="6"/>
      <c r="AG87" s="6"/>
      <c r="AH87" s="6"/>
      <c r="AO87" s="59"/>
      <c r="AP87" s="59"/>
    </row>
    <row r="88" spans="2:42" ht="15" customHeight="1" x14ac:dyDescent="0.3">
      <c r="C88" s="192"/>
      <c r="D88" s="192"/>
      <c r="E88" s="192"/>
      <c r="F88" s="4" t="s">
        <v>43</v>
      </c>
      <c r="H88" s="197"/>
      <c r="I88" s="197"/>
      <c r="J88" s="197"/>
      <c r="K88" s="4" t="s">
        <v>39</v>
      </c>
      <c r="M88" s="197"/>
      <c r="N88" s="197"/>
      <c r="O88" s="197"/>
      <c r="P88" s="197"/>
      <c r="Q88" s="4" t="s">
        <v>37</v>
      </c>
      <c r="S88" s="192"/>
      <c r="T88" s="192"/>
      <c r="U88" s="192"/>
      <c r="V88" s="4" t="s">
        <v>43</v>
      </c>
      <c r="X88" s="197"/>
      <c r="Y88" s="197"/>
      <c r="Z88" s="197"/>
      <c r="AA88" s="4" t="s">
        <v>39</v>
      </c>
      <c r="AD88" s="197"/>
      <c r="AE88" s="197"/>
      <c r="AF88" s="197"/>
      <c r="AG88" s="197"/>
      <c r="AH88" s="4" t="s">
        <v>37</v>
      </c>
      <c r="AL88" s="119">
        <f t="shared" ref="AL88:AL97" si="6">IF(ISBLANK(C88),1,2)</f>
        <v>1</v>
      </c>
      <c r="AM88" s="119">
        <f t="shared" ref="AM88:AM97" si="7">IF(ISBLANK(S88),1,2)</f>
        <v>1</v>
      </c>
      <c r="AN88" s="119">
        <f>IF(ISBLANK(H88),1,2)</f>
        <v>1</v>
      </c>
      <c r="AO88" s="119">
        <f>IF(ISBLANK(M88),1,2)</f>
        <v>1</v>
      </c>
      <c r="AP88" s="59"/>
    </row>
    <row r="89" spans="2:42" ht="15" customHeight="1" x14ac:dyDescent="0.3">
      <c r="C89" s="196"/>
      <c r="D89" s="196"/>
      <c r="E89" s="196"/>
      <c r="F89" s="4" t="s">
        <v>43</v>
      </c>
      <c r="H89" s="194"/>
      <c r="I89" s="194"/>
      <c r="J89" s="194"/>
      <c r="K89" s="4" t="s">
        <v>39</v>
      </c>
      <c r="M89" s="194"/>
      <c r="N89" s="194"/>
      <c r="O89" s="194"/>
      <c r="P89" s="194"/>
      <c r="Q89" s="4" t="s">
        <v>37</v>
      </c>
      <c r="S89" s="196"/>
      <c r="T89" s="196"/>
      <c r="U89" s="196"/>
      <c r="V89" s="4" t="s">
        <v>43</v>
      </c>
      <c r="X89" s="194"/>
      <c r="Y89" s="194"/>
      <c r="Z89" s="194"/>
      <c r="AA89" s="4" t="s">
        <v>39</v>
      </c>
      <c r="AD89" s="194"/>
      <c r="AE89" s="194"/>
      <c r="AF89" s="194"/>
      <c r="AG89" s="194"/>
      <c r="AH89" s="4" t="s">
        <v>37</v>
      </c>
      <c r="AL89" s="119">
        <f t="shared" si="6"/>
        <v>1</v>
      </c>
      <c r="AM89" s="119">
        <f t="shared" si="7"/>
        <v>1</v>
      </c>
      <c r="AO89" s="59"/>
      <c r="AP89" s="59"/>
    </row>
    <row r="90" spans="2:42" ht="15" customHeight="1" x14ac:dyDescent="0.3">
      <c r="C90" s="196"/>
      <c r="D90" s="196"/>
      <c r="E90" s="196"/>
      <c r="F90" s="4" t="s">
        <v>43</v>
      </c>
      <c r="H90" s="194"/>
      <c r="I90" s="194"/>
      <c r="J90" s="194"/>
      <c r="K90" s="4" t="s">
        <v>39</v>
      </c>
      <c r="M90" s="194"/>
      <c r="N90" s="194"/>
      <c r="O90" s="194"/>
      <c r="P90" s="194"/>
      <c r="Q90" s="4" t="s">
        <v>37</v>
      </c>
      <c r="S90" s="196"/>
      <c r="T90" s="196"/>
      <c r="U90" s="196"/>
      <c r="V90" s="4" t="s">
        <v>43</v>
      </c>
      <c r="X90" s="194"/>
      <c r="Y90" s="194"/>
      <c r="Z90" s="194"/>
      <c r="AA90" s="4" t="s">
        <v>39</v>
      </c>
      <c r="AD90" s="194"/>
      <c r="AE90" s="194"/>
      <c r="AF90" s="194"/>
      <c r="AG90" s="194"/>
      <c r="AH90" s="4" t="s">
        <v>37</v>
      </c>
      <c r="AL90" s="119">
        <f t="shared" si="6"/>
        <v>1</v>
      </c>
      <c r="AM90" s="119">
        <f t="shared" si="7"/>
        <v>1</v>
      </c>
      <c r="AO90" s="59"/>
      <c r="AP90" s="59"/>
    </row>
    <row r="91" spans="2:42" ht="15" customHeight="1" x14ac:dyDescent="0.3">
      <c r="C91" s="196"/>
      <c r="D91" s="196"/>
      <c r="E91" s="196"/>
      <c r="F91" s="4" t="s">
        <v>43</v>
      </c>
      <c r="H91" s="194"/>
      <c r="I91" s="194"/>
      <c r="J91" s="194"/>
      <c r="K91" s="4" t="s">
        <v>39</v>
      </c>
      <c r="M91" s="194"/>
      <c r="N91" s="194"/>
      <c r="O91" s="194"/>
      <c r="P91" s="194"/>
      <c r="Q91" s="4" t="s">
        <v>37</v>
      </c>
      <c r="S91" s="196"/>
      <c r="T91" s="196"/>
      <c r="U91" s="196"/>
      <c r="V91" s="4" t="s">
        <v>43</v>
      </c>
      <c r="X91" s="194"/>
      <c r="Y91" s="194"/>
      <c r="Z91" s="194"/>
      <c r="AA91" s="4" t="s">
        <v>39</v>
      </c>
      <c r="AD91" s="194"/>
      <c r="AE91" s="194"/>
      <c r="AF91" s="194"/>
      <c r="AG91" s="194"/>
      <c r="AH91" s="4" t="s">
        <v>37</v>
      </c>
      <c r="AL91" s="119">
        <f t="shared" si="6"/>
        <v>1</v>
      </c>
      <c r="AM91" s="119">
        <f t="shared" si="7"/>
        <v>1</v>
      </c>
      <c r="AO91" s="59"/>
      <c r="AP91" s="59"/>
    </row>
    <row r="92" spans="2:42" ht="15" customHeight="1" x14ac:dyDescent="0.3">
      <c r="C92" s="196"/>
      <c r="D92" s="196"/>
      <c r="E92" s="196"/>
      <c r="F92" s="4" t="s">
        <v>43</v>
      </c>
      <c r="H92" s="194"/>
      <c r="I92" s="194"/>
      <c r="J92" s="194"/>
      <c r="K92" s="4" t="s">
        <v>39</v>
      </c>
      <c r="M92" s="194"/>
      <c r="N92" s="194"/>
      <c r="O92" s="194"/>
      <c r="P92" s="194"/>
      <c r="Q92" s="4" t="s">
        <v>37</v>
      </c>
      <c r="S92" s="196"/>
      <c r="T92" s="196"/>
      <c r="U92" s="196"/>
      <c r="V92" s="4" t="s">
        <v>43</v>
      </c>
      <c r="X92" s="194"/>
      <c r="Y92" s="194"/>
      <c r="Z92" s="194"/>
      <c r="AA92" s="4" t="s">
        <v>39</v>
      </c>
      <c r="AD92" s="194"/>
      <c r="AE92" s="194"/>
      <c r="AF92" s="194"/>
      <c r="AG92" s="194"/>
      <c r="AH92" s="4" t="s">
        <v>37</v>
      </c>
      <c r="AL92" s="119">
        <f t="shared" si="6"/>
        <v>1</v>
      </c>
      <c r="AM92" s="119">
        <f t="shared" si="7"/>
        <v>1</v>
      </c>
    </row>
    <row r="93" spans="2:42" ht="15" customHeight="1" x14ac:dyDescent="0.3">
      <c r="C93" s="196"/>
      <c r="D93" s="196"/>
      <c r="E93" s="196"/>
      <c r="F93" s="4" t="s">
        <v>43</v>
      </c>
      <c r="H93" s="194"/>
      <c r="I93" s="194"/>
      <c r="J93" s="194"/>
      <c r="K93" s="4" t="s">
        <v>39</v>
      </c>
      <c r="M93" s="194"/>
      <c r="N93" s="194"/>
      <c r="O93" s="194"/>
      <c r="P93" s="194"/>
      <c r="Q93" s="4" t="s">
        <v>37</v>
      </c>
      <c r="S93" s="196"/>
      <c r="T93" s="196"/>
      <c r="U93" s="196"/>
      <c r="V93" s="4" t="s">
        <v>43</v>
      </c>
      <c r="X93" s="194"/>
      <c r="Y93" s="194"/>
      <c r="Z93" s="194"/>
      <c r="AA93" s="4" t="s">
        <v>39</v>
      </c>
      <c r="AD93" s="194"/>
      <c r="AE93" s="194"/>
      <c r="AF93" s="194"/>
      <c r="AG93" s="194"/>
      <c r="AH93" s="4" t="s">
        <v>37</v>
      </c>
      <c r="AL93" s="119">
        <f t="shared" si="6"/>
        <v>1</v>
      </c>
      <c r="AM93" s="119">
        <f t="shared" si="7"/>
        <v>1</v>
      </c>
    </row>
    <row r="94" spans="2:42" ht="15" customHeight="1" x14ac:dyDescent="0.3">
      <c r="C94" s="196"/>
      <c r="D94" s="196"/>
      <c r="E94" s="196"/>
      <c r="F94" s="4" t="s">
        <v>43</v>
      </c>
      <c r="H94" s="194"/>
      <c r="I94" s="194"/>
      <c r="J94" s="194"/>
      <c r="K94" s="4" t="s">
        <v>39</v>
      </c>
      <c r="M94" s="194"/>
      <c r="N94" s="194"/>
      <c r="O94" s="194"/>
      <c r="P94" s="194"/>
      <c r="Q94" s="4" t="s">
        <v>37</v>
      </c>
      <c r="S94" s="196"/>
      <c r="T94" s="196"/>
      <c r="U94" s="196"/>
      <c r="V94" s="4" t="s">
        <v>43</v>
      </c>
      <c r="X94" s="194"/>
      <c r="Y94" s="194"/>
      <c r="Z94" s="194"/>
      <c r="AA94" s="4" t="s">
        <v>39</v>
      </c>
      <c r="AD94" s="194"/>
      <c r="AE94" s="194"/>
      <c r="AF94" s="194"/>
      <c r="AG94" s="194"/>
      <c r="AH94" s="4" t="s">
        <v>37</v>
      </c>
      <c r="AL94" s="119">
        <f t="shared" si="6"/>
        <v>1</v>
      </c>
      <c r="AM94" s="119">
        <f t="shared" si="7"/>
        <v>1</v>
      </c>
    </row>
    <row r="95" spans="2:42" ht="15" customHeight="1" x14ac:dyDescent="0.3">
      <c r="C95" s="196"/>
      <c r="D95" s="196"/>
      <c r="E95" s="196"/>
      <c r="F95" s="4" t="s">
        <v>43</v>
      </c>
      <c r="H95" s="194"/>
      <c r="I95" s="194"/>
      <c r="J95" s="194"/>
      <c r="K95" s="4" t="s">
        <v>39</v>
      </c>
      <c r="M95" s="194"/>
      <c r="N95" s="194"/>
      <c r="O95" s="194"/>
      <c r="P95" s="194"/>
      <c r="Q95" s="4" t="s">
        <v>37</v>
      </c>
      <c r="S95" s="196"/>
      <c r="T95" s="196"/>
      <c r="U95" s="196"/>
      <c r="V95" s="4" t="s">
        <v>43</v>
      </c>
      <c r="X95" s="194"/>
      <c r="Y95" s="194"/>
      <c r="Z95" s="194"/>
      <c r="AA95" s="4" t="s">
        <v>39</v>
      </c>
      <c r="AD95" s="194"/>
      <c r="AE95" s="194"/>
      <c r="AF95" s="194"/>
      <c r="AG95" s="194"/>
      <c r="AH95" s="4" t="s">
        <v>37</v>
      </c>
      <c r="AL95" s="119">
        <f t="shared" si="6"/>
        <v>1</v>
      </c>
      <c r="AM95" s="119">
        <f t="shared" si="7"/>
        <v>1</v>
      </c>
    </row>
    <row r="96" spans="2:42" ht="15" customHeight="1" x14ac:dyDescent="0.3">
      <c r="C96" s="196"/>
      <c r="D96" s="196"/>
      <c r="E96" s="196"/>
      <c r="F96" s="4" t="s">
        <v>43</v>
      </c>
      <c r="H96" s="194"/>
      <c r="I96" s="194"/>
      <c r="J96" s="194"/>
      <c r="K96" s="4" t="s">
        <v>39</v>
      </c>
      <c r="M96" s="194"/>
      <c r="N96" s="194"/>
      <c r="O96" s="194"/>
      <c r="P96" s="194"/>
      <c r="Q96" s="4" t="s">
        <v>37</v>
      </c>
      <c r="S96" s="196"/>
      <c r="T96" s="196"/>
      <c r="U96" s="196"/>
      <c r="V96" s="4" t="s">
        <v>43</v>
      </c>
      <c r="X96" s="194"/>
      <c r="Y96" s="194"/>
      <c r="Z96" s="194"/>
      <c r="AA96" s="4" t="s">
        <v>39</v>
      </c>
      <c r="AD96" s="194"/>
      <c r="AE96" s="194"/>
      <c r="AF96" s="194"/>
      <c r="AG96" s="194"/>
      <c r="AH96" s="4" t="s">
        <v>37</v>
      </c>
      <c r="AL96" s="119">
        <f t="shared" si="6"/>
        <v>1</v>
      </c>
      <c r="AM96" s="119">
        <f t="shared" si="7"/>
        <v>1</v>
      </c>
    </row>
    <row r="97" spans="2:43" ht="15" customHeight="1" x14ac:dyDescent="0.3">
      <c r="C97" s="196"/>
      <c r="D97" s="196"/>
      <c r="E97" s="196"/>
      <c r="F97" s="4" t="s">
        <v>43</v>
      </c>
      <c r="H97" s="194"/>
      <c r="I97" s="194"/>
      <c r="J97" s="194"/>
      <c r="K97" s="4" t="s">
        <v>39</v>
      </c>
      <c r="M97" s="194"/>
      <c r="N97" s="194"/>
      <c r="O97" s="194"/>
      <c r="P97" s="194"/>
      <c r="Q97" s="4" t="s">
        <v>37</v>
      </c>
      <c r="S97" s="196"/>
      <c r="T97" s="196"/>
      <c r="U97" s="196"/>
      <c r="V97" s="4" t="s">
        <v>43</v>
      </c>
      <c r="X97" s="194"/>
      <c r="Y97" s="194"/>
      <c r="Z97" s="194"/>
      <c r="AA97" s="4" t="s">
        <v>39</v>
      </c>
      <c r="AD97" s="194"/>
      <c r="AE97" s="194"/>
      <c r="AF97" s="194"/>
      <c r="AG97" s="194"/>
      <c r="AH97" s="4" t="s">
        <v>37</v>
      </c>
      <c r="AL97" s="119">
        <f t="shared" si="6"/>
        <v>1</v>
      </c>
      <c r="AM97" s="119">
        <f t="shared" si="7"/>
        <v>1</v>
      </c>
    </row>
    <row r="98" spans="2:43" ht="15" customHeight="1" x14ac:dyDescent="0.3">
      <c r="G98" s="14" t="s">
        <v>249</v>
      </c>
      <c r="H98" s="195">
        <f>$W$25</f>
        <v>0</v>
      </c>
      <c r="I98" s="195"/>
      <c r="J98" s="195"/>
      <c r="K98" s="4" t="s">
        <v>37</v>
      </c>
      <c r="P98" s="15"/>
      <c r="Q98" s="12"/>
      <c r="R98" s="14" t="s">
        <v>250</v>
      </c>
      <c r="S98" s="194"/>
      <c r="T98" s="194"/>
      <c r="U98" s="194"/>
      <c r="V98" s="4" t="s">
        <v>37</v>
      </c>
      <c r="AC98" s="12" t="s">
        <v>251</v>
      </c>
      <c r="AD98" s="169"/>
      <c r="AE98" s="169"/>
      <c r="AF98" s="169"/>
      <c r="AG98" s="169"/>
      <c r="AH98" s="4" t="s">
        <v>43</v>
      </c>
      <c r="AL98" s="59" t="s">
        <v>160</v>
      </c>
      <c r="AM98" s="119" t="str">
        <f>IF(ISBLANK(S98),"",IF(ISTEXT(S98),2,IF(OR(S98=H98,S98&gt;H98),1,2)))</f>
        <v/>
      </c>
      <c r="AN98" s="119">
        <f>IF(ISTEXT(S98),2,0)</f>
        <v>0</v>
      </c>
      <c r="AO98" s="119">
        <f>IF(ISTEXT(AD98),2,0)</f>
        <v>0</v>
      </c>
      <c r="AP98" s="101"/>
    </row>
    <row r="99" spans="2:43" ht="15" customHeight="1" x14ac:dyDescent="0.3">
      <c r="AM99" s="119">
        <f>IF(OR(ISBLANK(H98),ISBLANK(S98)),2,1)</f>
        <v>2</v>
      </c>
    </row>
    <row r="100" spans="2:43" ht="15" customHeight="1" x14ac:dyDescent="0.3"/>
    <row r="101" spans="2:43" ht="15" customHeight="1" x14ac:dyDescent="0.3"/>
    <row r="102" spans="2:43" ht="15" customHeight="1" x14ac:dyDescent="0.3">
      <c r="B102" s="167">
        <f>Tables!$C$13</f>
        <v>45566</v>
      </c>
      <c r="C102" s="167"/>
      <c r="D102" s="167"/>
      <c r="E102" s="167"/>
      <c r="F102" s="167"/>
      <c r="G102" s="96"/>
      <c r="H102" s="96"/>
      <c r="I102" s="96"/>
      <c r="R102" s="6" t="s">
        <v>278</v>
      </c>
    </row>
    <row r="103" spans="2:43" ht="15" customHeight="1" x14ac:dyDescent="0.3">
      <c r="C103" s="2" t="s">
        <v>145</v>
      </c>
      <c r="D103" s="171">
        <f>IF(ISBLANK($E$13),0,$E$13)</f>
        <v>0</v>
      </c>
      <c r="E103" s="171"/>
      <c r="F103" s="171"/>
      <c r="G103" s="171"/>
      <c r="H103" s="171"/>
      <c r="I103" s="171"/>
      <c r="J103" s="171"/>
      <c r="K103" s="171"/>
      <c r="L103" s="171"/>
      <c r="M103" s="171"/>
      <c r="N103" s="171"/>
      <c r="O103" s="171"/>
      <c r="P103" s="171"/>
      <c r="Q103" s="171"/>
      <c r="R103" s="171"/>
      <c r="S103" s="171"/>
      <c r="T103" s="171"/>
      <c r="U103" s="171"/>
      <c r="V103" s="171"/>
      <c r="W103" s="171"/>
      <c r="X103" s="171"/>
      <c r="Y103" s="171"/>
      <c r="AD103" s="2" t="s">
        <v>172</v>
      </c>
      <c r="AE103" s="172">
        <f>IF(ISBLANK($AE$13),0,$AE$13)</f>
        <v>0</v>
      </c>
      <c r="AF103" s="172"/>
      <c r="AG103" s="172"/>
      <c r="AH103" s="172"/>
      <c r="AI103" s="172"/>
      <c r="AJ103" s="172"/>
      <c r="AM103" s="59" t="s">
        <v>331</v>
      </c>
      <c r="AN103" s="126">
        <f>Tables!B28</f>
        <v>4</v>
      </c>
      <c r="AO103" s="135"/>
      <c r="AP103" s="135"/>
    </row>
    <row r="104" spans="2:43" ht="15" customHeight="1" x14ac:dyDescent="0.3">
      <c r="F104" s="3"/>
      <c r="G104" s="3"/>
      <c r="H104" s="3"/>
      <c r="I104" s="3"/>
      <c r="J104" s="3"/>
      <c r="K104" s="2"/>
      <c r="L104" s="2"/>
      <c r="M104" s="2"/>
      <c r="N104" s="2"/>
      <c r="O104" s="3"/>
      <c r="P104" s="8"/>
      <c r="Q104" s="8"/>
      <c r="R104" s="8"/>
      <c r="S104" s="8"/>
      <c r="T104" s="8"/>
      <c r="U104" s="8"/>
      <c r="V104" s="8"/>
      <c r="W104" s="8"/>
      <c r="X104" s="8"/>
      <c r="Y104" s="8"/>
      <c r="Z104" s="8"/>
      <c r="AA104" s="8"/>
      <c r="AB104" s="8"/>
      <c r="AC104" s="8"/>
      <c r="AD104" s="2" t="s">
        <v>173</v>
      </c>
      <c r="AE104" s="168">
        <f>IF(ISBLANK($AE$14),0,$AE$14)</f>
        <v>0</v>
      </c>
      <c r="AF104" s="168"/>
      <c r="AG104" s="168"/>
      <c r="AH104" s="168"/>
      <c r="AI104" s="168"/>
      <c r="AJ104" s="168"/>
    </row>
    <row r="105" spans="2:43" ht="15" customHeight="1" x14ac:dyDescent="0.3">
      <c r="AL105" s="101" t="s">
        <v>75</v>
      </c>
      <c r="AM105" s="101" t="s">
        <v>210</v>
      </c>
      <c r="AN105" s="101" t="s">
        <v>76</v>
      </c>
      <c r="AO105" s="101" t="s">
        <v>341</v>
      </c>
      <c r="AP105" s="101" t="s">
        <v>413</v>
      </c>
      <c r="AQ105" s="101" t="s">
        <v>268</v>
      </c>
    </row>
    <row r="106" spans="2:43" ht="30" customHeight="1" x14ac:dyDescent="0.3">
      <c r="B106" s="1" t="s">
        <v>407</v>
      </c>
      <c r="C106" s="1"/>
      <c r="D106" s="1"/>
      <c r="E106" s="1"/>
      <c r="K106" s="1"/>
      <c r="L106" s="1"/>
      <c r="M106" s="193" t="s">
        <v>60</v>
      </c>
      <c r="N106" s="193"/>
      <c r="O106" s="193"/>
      <c r="Q106" s="193" t="s">
        <v>61</v>
      </c>
      <c r="R106" s="193"/>
      <c r="S106" s="193"/>
      <c r="T106" s="17"/>
      <c r="U106" s="193" t="s">
        <v>62</v>
      </c>
      <c r="V106" s="193"/>
      <c r="W106" s="193"/>
      <c r="X106" s="17"/>
      <c r="Y106" s="193" t="s">
        <v>222</v>
      </c>
      <c r="Z106" s="193"/>
      <c r="AA106" s="193"/>
      <c r="AC106" s="193" t="s">
        <v>190</v>
      </c>
      <c r="AD106" s="193"/>
      <c r="AE106" s="193"/>
      <c r="AG106" s="193" t="s">
        <v>64</v>
      </c>
      <c r="AH106" s="193"/>
      <c r="AI106" s="193"/>
      <c r="AJ106" s="193"/>
      <c r="AL106" s="119">
        <f>SUM(AL107:AL110)</f>
        <v>4</v>
      </c>
      <c r="AM106" s="119">
        <f>SUM(AM107:AM112)</f>
        <v>6</v>
      </c>
      <c r="AN106" s="119">
        <f>SUM(AN107:AN112)</f>
        <v>6</v>
      </c>
      <c r="AO106" s="119">
        <f>SUM(AO107:AO112)</f>
        <v>0</v>
      </c>
      <c r="AP106" s="119">
        <f>SUM(AP107:AP112)</f>
        <v>0</v>
      </c>
      <c r="AQ106" s="125">
        <f>SUM(AQ107:AQ112)</f>
        <v>6</v>
      </c>
    </row>
    <row r="107" spans="2:43" ht="15" customHeight="1" x14ac:dyDescent="0.3">
      <c r="F107" s="170">
        <f>Tables!$C$16</f>
        <v>4.24</v>
      </c>
      <c r="G107" s="170"/>
      <c r="H107" s="13"/>
      <c r="I107" s="13"/>
      <c r="K107" s="2" t="str">
        <f>Tables!$A$16</f>
        <v>(2-yr)</v>
      </c>
      <c r="L107" s="2"/>
      <c r="M107" s="191"/>
      <c r="N107" s="191"/>
      <c r="O107" s="191"/>
      <c r="Q107" s="191"/>
      <c r="R107" s="191"/>
      <c r="S107" s="191"/>
      <c r="U107" s="191"/>
      <c r="V107" s="191"/>
      <c r="W107" s="191"/>
      <c r="Y107" s="191"/>
      <c r="Z107" s="191"/>
      <c r="AA107" s="191"/>
      <c r="AC107" s="191"/>
      <c r="AD107" s="191"/>
      <c r="AE107" s="191"/>
      <c r="AG107" s="191"/>
      <c r="AH107" s="191"/>
      <c r="AI107" s="191"/>
      <c r="AL107" s="119">
        <f>IF(OR(ISBLANK(Y107),ISBLANK(W$82)),1,IF(Y107&gt;W$82,1,0))</f>
        <v>1</v>
      </c>
      <c r="AM107" s="119">
        <f t="shared" ref="AM107:AM112" si="8">IF(ISBLANK(AC107),1,IF(AC107&gt;$AM$113,1,0))</f>
        <v>1</v>
      </c>
      <c r="AN107" s="119">
        <f>IF(OR(ISBLANK(AG107),ISBLANK(M107)),1,IF(AG107&gt;M107,1,0))</f>
        <v>1</v>
      </c>
      <c r="AO107" s="119">
        <f t="shared" ref="AO107:AO111" si="9">IF($AN$150=0,0,IF(AG107&gt;=$AN$150,1,0))</f>
        <v>0</v>
      </c>
      <c r="AP107" s="119">
        <f t="shared" ref="AP107:AP111" si="10">IF($AN$152=0,0,IF($AG107&gt;=$AN$152,1,0))</f>
        <v>0</v>
      </c>
      <c r="AQ107" s="125">
        <f t="shared" ref="AQ107:AQ109" si="11">IF(OR(ISBLANK(M107),ISBLANK(AG107)),1,IF(ISERROR(AG107-M107&gt;-0.5),0,IF(AG107-M107&gt;-0.5,1,0)))</f>
        <v>1</v>
      </c>
    </row>
    <row r="108" spans="2:43" ht="15" customHeight="1" x14ac:dyDescent="0.3">
      <c r="F108" s="170">
        <f>Tables!$C$17</f>
        <v>5.3</v>
      </c>
      <c r="G108" s="170"/>
      <c r="H108" s="13"/>
      <c r="I108" s="13"/>
      <c r="K108" s="2" t="str">
        <f>Tables!$A$17</f>
        <v>(5-yr)</v>
      </c>
      <c r="L108" s="2"/>
      <c r="M108" s="169"/>
      <c r="N108" s="169"/>
      <c r="O108" s="169"/>
      <c r="Q108" s="169"/>
      <c r="R108" s="169"/>
      <c r="S108" s="169"/>
      <c r="U108" s="169"/>
      <c r="V108" s="169"/>
      <c r="W108" s="169"/>
      <c r="Y108" s="169"/>
      <c r="Z108" s="169"/>
      <c r="AA108" s="169"/>
      <c r="AC108" s="169"/>
      <c r="AD108" s="169"/>
      <c r="AE108" s="169"/>
      <c r="AG108" s="169"/>
      <c r="AH108" s="169"/>
      <c r="AI108" s="169"/>
      <c r="AL108" s="119">
        <f t="shared" ref="AL108:AL110" si="12">IF(OR(ISBLANK(Y108),ISBLANK(W$82)),1,IF(Y108&gt;W$82,1,0))</f>
        <v>1</v>
      </c>
      <c r="AM108" s="119">
        <f t="shared" si="8"/>
        <v>1</v>
      </c>
      <c r="AN108" s="119">
        <f t="shared" ref="AN108:AN112" si="13">IF(OR(ISBLANK(AG108),ISBLANK(M108)),1,IF(AG108&gt;M108,1,0))</f>
        <v>1</v>
      </c>
      <c r="AO108" s="119">
        <f t="shared" si="9"/>
        <v>0</v>
      </c>
      <c r="AP108" s="119">
        <f t="shared" si="10"/>
        <v>0</v>
      </c>
      <c r="AQ108" s="125">
        <f t="shared" si="11"/>
        <v>1</v>
      </c>
    </row>
    <row r="109" spans="2:43" ht="15" customHeight="1" x14ac:dyDescent="0.3">
      <c r="F109" s="170">
        <f>Tables!$C$18</f>
        <v>6.24</v>
      </c>
      <c r="G109" s="170"/>
      <c r="H109" s="13"/>
      <c r="I109" s="13"/>
      <c r="K109" s="2" t="str">
        <f>Tables!$A$18</f>
        <v>(10-yr)</v>
      </c>
      <c r="L109" s="2"/>
      <c r="M109" s="169"/>
      <c r="N109" s="169"/>
      <c r="O109" s="169"/>
      <c r="Q109" s="169"/>
      <c r="R109" s="169"/>
      <c r="S109" s="169"/>
      <c r="U109" s="169"/>
      <c r="V109" s="169"/>
      <c r="W109" s="169"/>
      <c r="Y109" s="169"/>
      <c r="Z109" s="169"/>
      <c r="AA109" s="169"/>
      <c r="AC109" s="169"/>
      <c r="AD109" s="169"/>
      <c r="AE109" s="169"/>
      <c r="AG109" s="169"/>
      <c r="AH109" s="169"/>
      <c r="AI109" s="169"/>
      <c r="AL109" s="119">
        <f t="shared" si="12"/>
        <v>1</v>
      </c>
      <c r="AM109" s="119">
        <f t="shared" si="8"/>
        <v>1</v>
      </c>
      <c r="AN109" s="119">
        <f t="shared" si="13"/>
        <v>1</v>
      </c>
      <c r="AO109" s="119">
        <f t="shared" si="9"/>
        <v>0</v>
      </c>
      <c r="AP109" s="119">
        <f t="shared" si="10"/>
        <v>0</v>
      </c>
      <c r="AQ109" s="125">
        <f t="shared" si="11"/>
        <v>1</v>
      </c>
    </row>
    <row r="110" spans="2:43" ht="15" customHeight="1" x14ac:dyDescent="0.3">
      <c r="F110" s="170">
        <f>Tables!$C$19</f>
        <v>7.64</v>
      </c>
      <c r="G110" s="170"/>
      <c r="H110" s="13"/>
      <c r="I110" s="13"/>
      <c r="K110" s="2" t="str">
        <f>Tables!$A$19</f>
        <v>(25-yr)</v>
      </c>
      <c r="L110" s="2"/>
      <c r="M110" s="169"/>
      <c r="N110" s="169"/>
      <c r="O110" s="169"/>
      <c r="Q110" s="169"/>
      <c r="R110" s="169"/>
      <c r="S110" s="169"/>
      <c r="U110" s="169"/>
      <c r="V110" s="169"/>
      <c r="W110" s="169"/>
      <c r="Y110" s="169"/>
      <c r="Z110" s="169"/>
      <c r="AA110" s="169"/>
      <c r="AC110" s="169"/>
      <c r="AD110" s="169"/>
      <c r="AE110" s="169"/>
      <c r="AG110" s="169"/>
      <c r="AH110" s="169"/>
      <c r="AI110" s="169"/>
      <c r="AL110" s="119">
        <f t="shared" si="12"/>
        <v>1</v>
      </c>
      <c r="AM110" s="119">
        <f t="shared" si="8"/>
        <v>1</v>
      </c>
      <c r="AN110" s="119">
        <f t="shared" si="13"/>
        <v>1</v>
      </c>
      <c r="AO110" s="119">
        <f t="shared" si="9"/>
        <v>0</v>
      </c>
      <c r="AP110" s="119">
        <f t="shared" si="10"/>
        <v>0</v>
      </c>
      <c r="AQ110" s="125">
        <f>IF(OR(ISBLANK(M110),ISBLANK(AG110)),1,IF(ISERROR(AG110-M110&gt;-0.5),0,IF(AG110-M110&gt;-0.5,1,0)))</f>
        <v>1</v>
      </c>
    </row>
    <row r="111" spans="2:43" ht="15" customHeight="1" x14ac:dyDescent="0.3">
      <c r="F111" s="170">
        <f>Tables!$C$20</f>
        <v>8.8000000000000007</v>
      </c>
      <c r="G111" s="170"/>
      <c r="H111" s="13"/>
      <c r="I111" s="13"/>
      <c r="K111" s="2" t="str">
        <f>Tables!$A$20</f>
        <v>(50-yr)</v>
      </c>
      <c r="L111" s="2"/>
      <c r="M111" s="169"/>
      <c r="N111" s="169"/>
      <c r="O111" s="169"/>
      <c r="Q111" s="169"/>
      <c r="R111" s="169"/>
      <c r="S111" s="169"/>
      <c r="U111" s="169"/>
      <c r="V111" s="169"/>
      <c r="W111" s="169"/>
      <c r="Y111" s="169"/>
      <c r="Z111" s="169"/>
      <c r="AA111" s="169"/>
      <c r="AC111" s="169"/>
      <c r="AD111" s="169"/>
      <c r="AE111" s="169"/>
      <c r="AG111" s="169"/>
      <c r="AH111" s="169"/>
      <c r="AI111" s="169"/>
      <c r="AL111" s="121">
        <f>IF(OR(ISBLANK($AF$82),ISBLANK(Y111)),0,$AF$82-Y111)</f>
        <v>0</v>
      </c>
      <c r="AM111" s="119">
        <f t="shared" si="8"/>
        <v>1</v>
      </c>
      <c r="AN111" s="119">
        <f t="shared" si="13"/>
        <v>1</v>
      </c>
      <c r="AO111" s="119">
        <f t="shared" si="9"/>
        <v>0</v>
      </c>
      <c r="AP111" s="119">
        <f t="shared" si="10"/>
        <v>0</v>
      </c>
      <c r="AQ111" s="125">
        <f t="shared" ref="AQ111:AQ112" si="14">IF(OR(ISBLANK(M111),ISBLANK(AG111)),1,IF(ISERROR(AG111-M111&gt;-0.5),0,IF(AG111-M111&gt;-0.5,1,0)))</f>
        <v>1</v>
      </c>
    </row>
    <row r="112" spans="2:43" ht="15" customHeight="1" x14ac:dyDescent="0.3">
      <c r="F112" s="170">
        <f>Tables!$C$21</f>
        <v>10</v>
      </c>
      <c r="G112" s="170"/>
      <c r="H112" s="13"/>
      <c r="I112" s="13"/>
      <c r="K112" s="2" t="str">
        <f>Tables!$A$21</f>
        <v>(100-yr)</v>
      </c>
      <c r="L112" s="2"/>
      <c r="M112" s="169"/>
      <c r="N112" s="169"/>
      <c r="O112" s="169"/>
      <c r="Q112" s="169"/>
      <c r="R112" s="169"/>
      <c r="S112" s="169"/>
      <c r="U112" s="169"/>
      <c r="V112" s="169"/>
      <c r="W112" s="169"/>
      <c r="Y112" s="169"/>
      <c r="Z112" s="169"/>
      <c r="AA112" s="169"/>
      <c r="AC112" s="169"/>
      <c r="AD112" s="169"/>
      <c r="AE112" s="169"/>
      <c r="AG112" s="169"/>
      <c r="AH112" s="169"/>
      <c r="AI112" s="169"/>
      <c r="AL112" s="121">
        <f>IF(OR(ISBLANK($AF$82),ISBLANK(Y112)),0,$AF$82-Y112)</f>
        <v>0</v>
      </c>
      <c r="AM112" s="119">
        <f t="shared" si="8"/>
        <v>1</v>
      </c>
      <c r="AN112" s="119">
        <f t="shared" si="13"/>
        <v>1</v>
      </c>
      <c r="AO112" s="119">
        <f>IF($AN$150=0,0,IF($AG112&gt;=$AN$150,1,0))</f>
        <v>0</v>
      </c>
      <c r="AP112" s="119">
        <f>IF($AN$152=0,0,IF($AG112&gt;=$AN$152,1,0))</f>
        <v>0</v>
      </c>
      <c r="AQ112" s="125">
        <f t="shared" si="14"/>
        <v>1</v>
      </c>
    </row>
    <row r="113" spans="2:42" ht="15" customHeight="1" x14ac:dyDescent="0.3">
      <c r="AL113" s="59" t="s">
        <v>263</v>
      </c>
      <c r="AM113" s="119">
        <f>Tables!C26</f>
        <v>5</v>
      </c>
      <c r="AN113" s="119">
        <f>IF(AND(ISBLANK(AG107),ISBLANK(AG108),ISBLANK(AG109),ISBLANK(AG110),ISBLANK(AG111),ISBLANK(AG112)),0,1)</f>
        <v>0</v>
      </c>
    </row>
    <row r="114" spans="2:42" ht="15" customHeight="1" x14ac:dyDescent="0.3">
      <c r="AG114" s="189"/>
      <c r="AH114" s="189"/>
      <c r="AO114" s="136"/>
      <c r="AP114" s="136"/>
    </row>
    <row r="115" spans="2:42" ht="15" customHeight="1" x14ac:dyDescent="0.3">
      <c r="B115" s="9" t="s">
        <v>22</v>
      </c>
      <c r="C115" s="9"/>
      <c r="D115" s="9"/>
      <c r="E115" s="9"/>
      <c r="AK115" s="6"/>
    </row>
    <row r="116" spans="2:42" ht="15" customHeight="1" x14ac:dyDescent="0.3">
      <c r="B116" s="173"/>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5"/>
      <c r="AK116" s="6"/>
    </row>
    <row r="117" spans="2:42" ht="15" customHeight="1" x14ac:dyDescent="0.3">
      <c r="B117" s="176"/>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8"/>
      <c r="AK117" s="6"/>
    </row>
    <row r="118" spans="2:42" ht="15" customHeight="1" x14ac:dyDescent="0.3">
      <c r="B118" s="176"/>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c r="AD118" s="177"/>
      <c r="AE118" s="177"/>
      <c r="AF118" s="177"/>
      <c r="AG118" s="177"/>
      <c r="AH118" s="177"/>
      <c r="AI118" s="177"/>
      <c r="AJ118" s="178"/>
      <c r="AK118" s="6"/>
    </row>
    <row r="119" spans="2:42" ht="15" customHeight="1" x14ac:dyDescent="0.3">
      <c r="B119" s="176"/>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8"/>
      <c r="AK119" s="6"/>
    </row>
    <row r="120" spans="2:42" ht="15" customHeight="1" x14ac:dyDescent="0.3">
      <c r="B120" s="176"/>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8"/>
      <c r="AK120" s="6"/>
    </row>
    <row r="121" spans="2:42" ht="15" customHeight="1" x14ac:dyDescent="0.3">
      <c r="B121" s="176"/>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c r="AH121" s="177"/>
      <c r="AI121" s="177"/>
      <c r="AJ121" s="178"/>
      <c r="AK121" s="6"/>
    </row>
    <row r="122" spans="2:42" ht="15" customHeight="1" x14ac:dyDescent="0.3">
      <c r="B122" s="176"/>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8"/>
      <c r="AK122" s="6"/>
    </row>
    <row r="123" spans="2:42" ht="15" customHeight="1" x14ac:dyDescent="0.3">
      <c r="B123" s="176"/>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8"/>
      <c r="AK123" s="6"/>
    </row>
    <row r="124" spans="2:42" ht="15" customHeight="1" x14ac:dyDescent="0.3">
      <c r="B124" s="179"/>
      <c r="C124" s="180"/>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1"/>
      <c r="AK124" s="6"/>
    </row>
    <row r="125" spans="2:42" ht="15" customHeight="1" x14ac:dyDescent="0.3">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row>
    <row r="126" spans="2:42" ht="15" customHeight="1" x14ac:dyDescent="0.3">
      <c r="B126" s="1" t="s">
        <v>19</v>
      </c>
      <c r="C126" s="1"/>
      <c r="D126" s="1"/>
      <c r="E126" s="1"/>
      <c r="F126" s="1"/>
      <c r="G126" s="1"/>
      <c r="H126" s="1"/>
      <c r="I126" s="1"/>
      <c r="J126" s="1"/>
    </row>
    <row r="127" spans="2:42" ht="15" customHeight="1" x14ac:dyDescent="0.3">
      <c r="B127" s="90" t="s">
        <v>200</v>
      </c>
      <c r="C127" s="90"/>
      <c r="D127" s="90"/>
      <c r="E127" s="90"/>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row>
    <row r="128" spans="2:42" ht="15" customHeight="1" x14ac:dyDescent="0.3">
      <c r="C128" s="72" t="s">
        <v>115</v>
      </c>
      <c r="D128" s="90" t="str">
        <f>"Is designed in accordance with the latest version of the "&amp;Tables!$C$23&amp;"'s requirements;"</f>
        <v>Is designed in accordance with the latest version of the City's requirements;</v>
      </c>
      <c r="E128" s="91"/>
      <c r="G128" s="90"/>
      <c r="H128" s="90"/>
      <c r="I128" s="90"/>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row>
    <row r="129" spans="3:43" ht="15" customHeight="1" x14ac:dyDescent="0.3">
      <c r="C129" s="72" t="s">
        <v>115</v>
      </c>
      <c r="D129" s="90" t="s">
        <v>201</v>
      </c>
      <c r="E129" s="91"/>
      <c r="G129" s="90"/>
      <c r="H129" s="90"/>
      <c r="I129" s="90"/>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row>
    <row r="130" spans="3:43" ht="15" customHeight="1" x14ac:dyDescent="0.3">
      <c r="C130" s="72" t="s">
        <v>115</v>
      </c>
      <c r="D130" s="90" t="s">
        <v>271</v>
      </c>
      <c r="E130" s="91"/>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row>
    <row r="131" spans="3:43" ht="15" customHeight="1" x14ac:dyDescent="0.3">
      <c r="C131" s="72"/>
      <c r="D131" s="90" t="s">
        <v>213</v>
      </c>
      <c r="E131" s="91"/>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row>
    <row r="132" spans="3:43" ht="15" customHeight="1" x14ac:dyDescent="0.3">
      <c r="C132" s="72" t="s">
        <v>115</v>
      </c>
      <c r="D132" s="90" t="s">
        <v>202</v>
      </c>
      <c r="E132" s="91"/>
      <c r="G132" s="90"/>
      <c r="H132" s="90"/>
      <c r="I132" s="90"/>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row>
    <row r="133" spans="3:43" ht="15" customHeight="1" x14ac:dyDescent="0.3">
      <c r="C133" s="72" t="s">
        <v>115</v>
      </c>
      <c r="D133" s="90" t="s">
        <v>203</v>
      </c>
      <c r="E133" s="91"/>
      <c r="G133" s="90"/>
      <c r="H133" s="90"/>
      <c r="I133" s="90"/>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row>
    <row r="134" spans="3:43" ht="15" customHeight="1" x14ac:dyDescent="0.3">
      <c r="C134" s="72"/>
      <c r="D134" s="90"/>
      <c r="E134" s="91"/>
      <c r="G134" s="90"/>
      <c r="H134" s="90"/>
      <c r="I134" s="90"/>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row>
    <row r="135" spans="3:43" ht="15" customHeight="1" x14ac:dyDescent="0.3">
      <c r="E135" s="2" t="s">
        <v>178</v>
      </c>
      <c r="F135" s="184"/>
      <c r="G135" s="184"/>
      <c r="H135" s="184"/>
      <c r="I135" s="184"/>
      <c r="J135" s="184"/>
      <c r="K135" s="184"/>
      <c r="L135" s="184"/>
      <c r="M135" s="184"/>
      <c r="N135" s="184"/>
      <c r="O135" s="184"/>
      <c r="P135" s="184"/>
      <c r="Q135" s="184"/>
      <c r="R135" s="184"/>
      <c r="S135" s="184"/>
      <c r="T135" s="184"/>
      <c r="U135" s="184"/>
      <c r="V135" s="184"/>
      <c r="W135" s="184"/>
      <c r="X135" s="184"/>
      <c r="Y135" s="184"/>
      <c r="Z135" s="184"/>
      <c r="AC135" s="2" t="s">
        <v>252</v>
      </c>
      <c r="AD135" s="2"/>
      <c r="AE135" s="2"/>
      <c r="AF135" s="2"/>
    </row>
    <row r="136" spans="3:43" ht="15" customHeight="1" x14ac:dyDescent="0.3">
      <c r="E136" s="2" t="s">
        <v>145</v>
      </c>
      <c r="F136" s="185"/>
      <c r="G136" s="185"/>
      <c r="H136" s="185"/>
      <c r="I136" s="185"/>
      <c r="J136" s="185"/>
      <c r="K136" s="185"/>
      <c r="L136" s="185"/>
      <c r="M136" s="185"/>
      <c r="N136" s="185"/>
      <c r="O136" s="185"/>
      <c r="P136" s="185"/>
      <c r="Q136" s="185"/>
      <c r="R136" s="185"/>
      <c r="S136" s="185"/>
      <c r="T136" s="185"/>
      <c r="U136" s="185"/>
      <c r="V136" s="185"/>
      <c r="W136" s="185"/>
      <c r="X136" s="185"/>
      <c r="Y136" s="185"/>
      <c r="Z136" s="185"/>
    </row>
    <row r="137" spans="3:43" ht="15" customHeight="1" x14ac:dyDescent="0.3">
      <c r="E137" s="2" t="s">
        <v>146</v>
      </c>
      <c r="F137" s="185"/>
      <c r="G137" s="185"/>
      <c r="H137" s="185"/>
      <c r="I137" s="185"/>
      <c r="J137" s="185"/>
      <c r="K137" s="185"/>
      <c r="L137" s="185"/>
      <c r="M137" s="185"/>
      <c r="N137" s="185"/>
      <c r="O137" s="185"/>
      <c r="P137" s="185"/>
      <c r="Q137" s="185"/>
      <c r="R137" s="185"/>
      <c r="S137" s="185"/>
      <c r="T137" s="185"/>
      <c r="U137" s="185"/>
      <c r="V137" s="185"/>
      <c r="W137" s="185"/>
      <c r="X137" s="185"/>
      <c r="Y137" s="185"/>
      <c r="Z137" s="185"/>
    </row>
    <row r="138" spans="3:43" ht="15" customHeight="1" x14ac:dyDescent="0.3">
      <c r="E138" s="2" t="s">
        <v>225</v>
      </c>
      <c r="F138" s="185"/>
      <c r="G138" s="185"/>
      <c r="H138" s="185"/>
      <c r="I138" s="185"/>
      <c r="J138" s="185"/>
      <c r="K138" s="185"/>
      <c r="L138" s="185"/>
      <c r="M138" s="73"/>
      <c r="N138" s="73"/>
      <c r="O138" s="129" t="s">
        <v>149</v>
      </c>
      <c r="P138" s="185"/>
      <c r="Q138" s="185"/>
      <c r="R138" s="185"/>
      <c r="S138" s="185"/>
      <c r="T138" s="73"/>
      <c r="U138" s="73"/>
      <c r="V138" s="73"/>
      <c r="W138" s="129" t="s">
        <v>150</v>
      </c>
      <c r="X138" s="183"/>
      <c r="Y138" s="183"/>
      <c r="Z138" s="183"/>
    </row>
    <row r="139" spans="3:43" ht="15" customHeight="1" x14ac:dyDescent="0.3">
      <c r="E139" s="2" t="s">
        <v>147</v>
      </c>
      <c r="F139" s="186"/>
      <c r="G139" s="186"/>
      <c r="H139" s="186"/>
      <c r="I139" s="186"/>
      <c r="J139" s="186"/>
      <c r="K139" s="186"/>
      <c r="L139" s="186"/>
      <c r="M139" s="186"/>
      <c r="N139" s="186"/>
      <c r="O139" s="186"/>
      <c r="P139" s="186"/>
      <c r="Q139" s="186"/>
      <c r="R139" s="186"/>
      <c r="S139" s="186"/>
      <c r="T139" s="186"/>
      <c r="U139" s="186"/>
      <c r="V139" s="186"/>
      <c r="W139" s="186"/>
      <c r="X139" s="186"/>
      <c r="Y139" s="186"/>
      <c r="Z139" s="186"/>
      <c r="AP139" s="187" t="s">
        <v>420</v>
      </c>
      <c r="AQ139" s="188"/>
    </row>
    <row r="140" spans="3:43" ht="15" customHeight="1" x14ac:dyDescent="0.3">
      <c r="E140" s="2" t="s">
        <v>151</v>
      </c>
      <c r="F140" s="182"/>
      <c r="G140" s="182"/>
      <c r="H140" s="182"/>
      <c r="I140" s="182"/>
      <c r="J140" s="182"/>
      <c r="V140" s="65"/>
      <c r="W140" s="65"/>
      <c r="X140" s="65"/>
      <c r="AP140" s="155" t="s">
        <v>417</v>
      </c>
      <c r="AQ140" s="156" t="s">
        <v>161</v>
      </c>
    </row>
    <row r="141" spans="3:43" ht="15" customHeight="1" x14ac:dyDescent="0.3">
      <c r="E141" s="2"/>
      <c r="F141" s="73"/>
      <c r="G141" s="73"/>
      <c r="H141" s="73"/>
      <c r="I141" s="73"/>
      <c r="J141" s="73"/>
      <c r="V141" s="65"/>
      <c r="W141" s="65"/>
      <c r="X141" s="65"/>
      <c r="AP141" s="157">
        <v>2</v>
      </c>
      <c r="AQ141" s="158">
        <f t="shared" ref="AQ141:AQ146" si="15">M107</f>
        <v>0</v>
      </c>
    </row>
    <row r="142" spans="3:43" ht="15" customHeight="1" x14ac:dyDescent="0.3">
      <c r="E142" s="2" t="s">
        <v>179</v>
      </c>
      <c r="F142" s="87"/>
      <c r="G142" s="87"/>
      <c r="H142" s="87"/>
      <c r="I142" s="87"/>
      <c r="J142" s="87"/>
      <c r="K142" s="87"/>
      <c r="L142" s="87"/>
      <c r="M142" s="87"/>
      <c r="N142" s="87"/>
      <c r="O142" s="87"/>
      <c r="P142" s="87"/>
      <c r="Q142" s="87"/>
      <c r="R142" s="87"/>
      <c r="S142" s="87"/>
      <c r="T142" s="87"/>
      <c r="U142" s="87"/>
      <c r="V142" s="65"/>
      <c r="W142" s="65"/>
      <c r="X142" s="65"/>
      <c r="AC142" s="2" t="s">
        <v>172</v>
      </c>
      <c r="AD142" s="190"/>
      <c r="AE142" s="190"/>
      <c r="AF142" s="190"/>
      <c r="AG142" s="190"/>
      <c r="AH142" s="190"/>
      <c r="AP142" s="157">
        <v>5</v>
      </c>
      <c r="AQ142" s="158">
        <f t="shared" si="15"/>
        <v>0</v>
      </c>
    </row>
    <row r="143" spans="3:43" ht="15" customHeight="1" x14ac:dyDescent="0.3">
      <c r="AP143" s="157">
        <v>10</v>
      </c>
      <c r="AQ143" s="158">
        <f t="shared" si="15"/>
        <v>0</v>
      </c>
    </row>
    <row r="144" spans="3:43" ht="15" customHeight="1" x14ac:dyDescent="0.3">
      <c r="AP144" s="157">
        <v>25</v>
      </c>
      <c r="AQ144" s="158">
        <f t="shared" si="15"/>
        <v>0</v>
      </c>
    </row>
    <row r="145" spans="2:43" ht="15" customHeight="1" x14ac:dyDescent="0.3">
      <c r="B145" s="167">
        <f>Tables!$C$13</f>
        <v>45566</v>
      </c>
      <c r="C145" s="167"/>
      <c r="D145" s="167"/>
      <c r="E145" s="167"/>
      <c r="F145" s="167"/>
      <c r="G145" s="96"/>
      <c r="H145" s="96"/>
      <c r="I145" s="96"/>
      <c r="R145" s="6" t="s">
        <v>277</v>
      </c>
      <c r="AP145" s="157">
        <v>50</v>
      </c>
      <c r="AQ145" s="158">
        <f t="shared" si="15"/>
        <v>0</v>
      </c>
    </row>
    <row r="146" spans="2:43" ht="15" customHeight="1" x14ac:dyDescent="0.3">
      <c r="C146" s="2" t="s">
        <v>145</v>
      </c>
      <c r="D146" s="171">
        <f>IF(ISBLANK($E$13),0,$E$13)</f>
        <v>0</v>
      </c>
      <c r="E146" s="171"/>
      <c r="F146" s="171"/>
      <c r="G146" s="171"/>
      <c r="H146" s="171"/>
      <c r="I146" s="171"/>
      <c r="J146" s="171"/>
      <c r="K146" s="171"/>
      <c r="L146" s="171"/>
      <c r="M146" s="171"/>
      <c r="N146" s="171"/>
      <c r="O146" s="171"/>
      <c r="P146" s="171"/>
      <c r="Q146" s="171"/>
      <c r="R146" s="171"/>
      <c r="S146" s="171"/>
      <c r="T146" s="171"/>
      <c r="U146" s="171"/>
      <c r="V146" s="171"/>
      <c r="W146" s="171"/>
      <c r="X146" s="171"/>
      <c r="Y146" s="171"/>
      <c r="AD146" s="2" t="s">
        <v>172</v>
      </c>
      <c r="AE146" s="172">
        <f>IF(ISBLANK($AE$13),0,$AE$13)</f>
        <v>0</v>
      </c>
      <c r="AF146" s="172"/>
      <c r="AG146" s="172"/>
      <c r="AH146" s="172"/>
      <c r="AI146" s="172"/>
      <c r="AJ146" s="172"/>
      <c r="AP146" s="159">
        <v>100</v>
      </c>
      <c r="AQ146" s="160">
        <f t="shared" si="15"/>
        <v>0</v>
      </c>
    </row>
    <row r="147" spans="2:43" ht="15" customHeight="1" x14ac:dyDescent="0.3">
      <c r="F147" s="3"/>
      <c r="G147" s="3"/>
      <c r="H147" s="3"/>
      <c r="I147" s="3"/>
      <c r="J147" s="3"/>
      <c r="K147" s="2"/>
      <c r="L147" s="2"/>
      <c r="M147" s="2"/>
      <c r="N147" s="2"/>
      <c r="O147" s="3"/>
      <c r="P147" s="8"/>
      <c r="Q147" s="8"/>
      <c r="R147" s="8"/>
      <c r="S147" s="8"/>
      <c r="T147" s="8"/>
      <c r="U147" s="8"/>
      <c r="V147" s="8"/>
      <c r="W147" s="8"/>
      <c r="X147" s="8"/>
      <c r="Y147" s="8"/>
      <c r="Z147" s="8"/>
      <c r="AA147" s="8"/>
      <c r="AB147" s="8"/>
      <c r="AC147" s="8"/>
      <c r="AD147" s="2" t="s">
        <v>173</v>
      </c>
      <c r="AE147" s="168">
        <f>IF(ISBLANK($AE$14),0,$AE$14)</f>
        <v>0</v>
      </c>
      <c r="AF147" s="168"/>
      <c r="AG147" s="168"/>
      <c r="AH147" s="168"/>
      <c r="AI147" s="168"/>
      <c r="AJ147" s="168"/>
    </row>
    <row r="148" spans="2:43" ht="15" customHeight="1" x14ac:dyDescent="0.3">
      <c r="B148" s="1" t="s">
        <v>370</v>
      </c>
      <c r="AN148" s="101" t="s">
        <v>161</v>
      </c>
      <c r="AO148" s="101" t="s">
        <v>418</v>
      </c>
      <c r="AP148" s="101" t="s">
        <v>417</v>
      </c>
      <c r="AQ148" s="56" t="s">
        <v>419</v>
      </c>
    </row>
    <row r="149" spans="2:43" ht="4.95" customHeight="1" x14ac:dyDescent="0.3"/>
    <row r="150" spans="2:43" ht="15" customHeight="1" x14ac:dyDescent="0.3">
      <c r="C150" s="74"/>
      <c r="D150" s="4" t="s">
        <v>129</v>
      </c>
      <c r="F150" s="74"/>
      <c r="G150" s="4" t="s">
        <v>130</v>
      </c>
      <c r="I150" s="4" t="s">
        <v>391</v>
      </c>
      <c r="Y150" s="4" t="str">
        <f>IF(AO150="Yes","Detain 100-yr event to "&amp;AP150&amp;"-yr discharge.","")</f>
        <v/>
      </c>
      <c r="AL150" s="119">
        <f>IF(AND(ISBLANK(C150),ISBLANK(F150)),1,2)</f>
        <v>1</v>
      </c>
      <c r="AM150" s="119">
        <f>IF(ISBLANK(C150),1,2)</f>
        <v>1</v>
      </c>
      <c r="AN150" s="121">
        <f>IF(AO150="Yes",IF($AM$150=2,$AQ$150,0),0)</f>
        <v>0</v>
      </c>
      <c r="AO150" s="119" t="str">
        <f>Tables!C29</f>
        <v>No</v>
      </c>
      <c r="AP150" s="126">
        <f>Tables!C30</f>
        <v>0</v>
      </c>
      <c r="AQ150" s="121" t="e">
        <f>VLOOKUP(AP150,$AP$141:$AQ$146,2)</f>
        <v>#N/A</v>
      </c>
    </row>
    <row r="151" spans="2:43" ht="4.95" customHeight="1" x14ac:dyDescent="0.3"/>
    <row r="152" spans="2:43" ht="15" customHeight="1" x14ac:dyDescent="0.3">
      <c r="C152" s="74"/>
      <c r="D152" s="4" t="s">
        <v>129</v>
      </c>
      <c r="F152" s="74"/>
      <c r="G152" s="4" t="s">
        <v>130</v>
      </c>
      <c r="I152" s="4" t="s">
        <v>392</v>
      </c>
      <c r="Y152" s="4" t="str">
        <f>IF(AO152="Yes","Detain 100-yr event to "&amp;AP152&amp;"-yr discharge.","")</f>
        <v/>
      </c>
      <c r="AL152" s="119">
        <f>IF(AND(ISBLANK(C152),ISBLANK(F152)),1,2)</f>
        <v>1</v>
      </c>
      <c r="AM152" s="119">
        <f>IF(ISBLANK(C152),1,2)</f>
        <v>1</v>
      </c>
      <c r="AN152" s="121">
        <f>IF(AO152="Yes",IF($AM$152=2,$AQ$152,0),0)</f>
        <v>0</v>
      </c>
      <c r="AO152" s="119" t="str">
        <f>Tables!C31</f>
        <v>No</v>
      </c>
      <c r="AP152" s="126">
        <f>Tables!C32</f>
        <v>0</v>
      </c>
      <c r="AQ152" s="121" t="e">
        <f>VLOOKUP(AP152,$AP$141:$AQ$146,2)</f>
        <v>#N/A</v>
      </c>
    </row>
    <row r="153" spans="2:43" ht="4.95" customHeight="1" x14ac:dyDescent="0.3"/>
    <row r="154" spans="2:43" ht="15" customHeight="1" x14ac:dyDescent="0.3">
      <c r="C154" s="74"/>
      <c r="D154" s="4" t="s">
        <v>129</v>
      </c>
      <c r="F154" s="74"/>
      <c r="G154" s="4" t="s">
        <v>130</v>
      </c>
      <c r="I154" s="4" t="s">
        <v>382</v>
      </c>
      <c r="AL154" s="119">
        <f>IF(AND(ISBLANK(C154),ISBLANK(F154)),1,2)</f>
        <v>1</v>
      </c>
      <c r="AM154" s="119">
        <f>IF(ISBLANK(F154),1,2)</f>
        <v>1</v>
      </c>
    </row>
    <row r="155" spans="2:43" ht="4.95" customHeight="1" x14ac:dyDescent="0.3"/>
    <row r="156" spans="2:43" ht="15" customHeight="1" x14ac:dyDescent="0.3">
      <c r="C156" s="74"/>
      <c r="D156" s="4" t="s">
        <v>129</v>
      </c>
      <c r="F156" s="74"/>
      <c r="G156" s="4" t="s">
        <v>130</v>
      </c>
      <c r="I156" s="4" t="s">
        <v>384</v>
      </c>
      <c r="J156" s="6"/>
      <c r="K156" s="6"/>
      <c r="L156" s="6"/>
      <c r="AL156" s="119">
        <f>IF(AND(ISBLANK(C156),ISBLANK(F156)),1,2)</f>
        <v>1</v>
      </c>
      <c r="AM156" s="119">
        <f>IF(ISBLANK(C156),1,2)</f>
        <v>1</v>
      </c>
    </row>
    <row r="157" spans="2:43" ht="4.95" customHeight="1" x14ac:dyDescent="0.3">
      <c r="C157" s="6"/>
      <c r="D157" s="6"/>
      <c r="E157" s="6"/>
      <c r="F157" s="6"/>
      <c r="G157" s="6"/>
      <c r="H157" s="6"/>
      <c r="I157" s="6"/>
      <c r="J157" s="6"/>
      <c r="K157" s="6"/>
      <c r="L157" s="6"/>
    </row>
    <row r="158" spans="2:43" ht="15" customHeight="1" x14ac:dyDescent="0.3">
      <c r="C158" s="74"/>
      <c r="D158" s="4" t="s">
        <v>129</v>
      </c>
      <c r="F158" s="74"/>
      <c r="G158" s="4" t="s">
        <v>130</v>
      </c>
      <c r="H158" s="6"/>
      <c r="I158" s="4" t="s">
        <v>369</v>
      </c>
      <c r="AL158" s="119">
        <f>IF(ISBLANK(C158),1,2)</f>
        <v>1</v>
      </c>
      <c r="AM158" s="119">
        <f>IF(ISBLANK(F158),1,2)</f>
        <v>1</v>
      </c>
      <c r="AN158" s="119">
        <f>SUM(AL158:AM158)</f>
        <v>2</v>
      </c>
      <c r="AO158" s="101"/>
      <c r="AP158" s="101"/>
    </row>
    <row r="159" spans="2:43" ht="4.95" customHeight="1" x14ac:dyDescent="0.3"/>
    <row r="160" spans="2:43" ht="15" customHeight="1" x14ac:dyDescent="0.3">
      <c r="C160" s="4" t="s">
        <v>404</v>
      </c>
    </row>
    <row r="161" spans="3:43" ht="4.95" customHeight="1" x14ac:dyDescent="0.3"/>
    <row r="162" spans="3:43" ht="15" customHeight="1" x14ac:dyDescent="0.3">
      <c r="C162" s="74"/>
      <c r="D162" s="4" t="s">
        <v>129</v>
      </c>
      <c r="F162" s="74"/>
      <c r="G162" s="4" t="s">
        <v>130</v>
      </c>
      <c r="I162" s="4" t="s">
        <v>371</v>
      </c>
      <c r="J162" s="6"/>
      <c r="K162" s="6"/>
      <c r="L162" s="6"/>
      <c r="AE162" s="2" t="s">
        <v>381</v>
      </c>
      <c r="AF162" s="74"/>
      <c r="AG162" s="4" t="s">
        <v>129</v>
      </c>
      <c r="AI162" s="74"/>
      <c r="AJ162" s="4" t="s">
        <v>130</v>
      </c>
      <c r="AL162" s="119">
        <f>IF(AND(ISBLANK(C162),ISBLANK(F162)),1,2)</f>
        <v>1</v>
      </c>
      <c r="AM162" s="119">
        <f>IF(ISBLANK(C162),1,2)</f>
        <v>1</v>
      </c>
      <c r="AN162" s="119">
        <f>IF(AND(LEN(C162)&gt;0,LEN(F162)&gt;0),4,1)</f>
        <v>1</v>
      </c>
      <c r="AO162" s="119">
        <f>IF(ISBLANK(AF162),1,2)</f>
        <v>1</v>
      </c>
      <c r="AP162" s="119">
        <f>IF(ISBLANK(AI162),1,2)</f>
        <v>1</v>
      </c>
      <c r="AQ162" s="119">
        <f>SUM(AO162:AP162)</f>
        <v>2</v>
      </c>
    </row>
    <row r="163" spans="3:43" ht="4.95" customHeight="1" x14ac:dyDescent="0.3"/>
    <row r="164" spans="3:43" ht="15" customHeight="1" x14ac:dyDescent="0.3">
      <c r="C164" s="74"/>
      <c r="D164" s="4" t="s">
        <v>129</v>
      </c>
      <c r="F164" s="74"/>
      <c r="G164" s="4" t="s">
        <v>130</v>
      </c>
      <c r="I164" s="4" t="s">
        <v>372</v>
      </c>
      <c r="J164" s="6"/>
      <c r="K164" s="6"/>
      <c r="L164" s="6"/>
      <c r="AE164" s="2" t="s">
        <v>381</v>
      </c>
      <c r="AF164" s="74"/>
      <c r="AG164" s="4" t="s">
        <v>129</v>
      </c>
      <c r="AI164" s="74"/>
      <c r="AJ164" s="4" t="s">
        <v>130</v>
      </c>
      <c r="AL164" s="119">
        <f>IF(AND(ISBLANK(C164),ISBLANK(F164)),1,2)</f>
        <v>1</v>
      </c>
      <c r="AM164" s="119">
        <f>IF(ISBLANK(C164),1,2)</f>
        <v>1</v>
      </c>
      <c r="AN164" s="119">
        <f>IF(AND(LEN(C164)&gt;0,LEN(F164)&gt;0),4,1)</f>
        <v>1</v>
      </c>
      <c r="AO164" s="119">
        <f>IF(ISBLANK(AF164),1,2)</f>
        <v>1</v>
      </c>
      <c r="AP164" s="119">
        <f>IF(ISBLANK(AI164),1,2)</f>
        <v>1</v>
      </c>
      <c r="AQ164" s="119">
        <f>SUM(AO164:AP164)</f>
        <v>2</v>
      </c>
    </row>
    <row r="165" spans="3:43" ht="4.95" customHeight="1" x14ac:dyDescent="0.3"/>
    <row r="166" spans="3:43" ht="15" customHeight="1" x14ac:dyDescent="0.3">
      <c r="C166" s="74"/>
      <c r="D166" s="4" t="s">
        <v>129</v>
      </c>
      <c r="F166" s="74"/>
      <c r="G166" s="4" t="s">
        <v>130</v>
      </c>
      <c r="I166" s="4" t="s">
        <v>373</v>
      </c>
      <c r="J166" s="6"/>
      <c r="K166" s="6"/>
      <c r="L166" s="6"/>
      <c r="AE166" s="2" t="s">
        <v>381</v>
      </c>
      <c r="AF166" s="74"/>
      <c r="AG166" s="4" t="s">
        <v>129</v>
      </c>
      <c r="AI166" s="74"/>
      <c r="AJ166" s="4" t="s">
        <v>130</v>
      </c>
      <c r="AL166" s="119">
        <f>IF(AND(ISBLANK(C166),ISBLANK(F166)),1,2)</f>
        <v>1</v>
      </c>
      <c r="AM166" s="119">
        <f>IF(ISBLANK(C166),1,2)</f>
        <v>1</v>
      </c>
      <c r="AN166" s="119">
        <f>IF(AND(LEN(C166)&gt;0,LEN(F166)&gt;0),4,1)</f>
        <v>1</v>
      </c>
      <c r="AO166" s="119">
        <f>IF(ISBLANK(AF166),1,2)</f>
        <v>1</v>
      </c>
      <c r="AP166" s="119">
        <f>IF(ISBLANK(AI166),1,2)</f>
        <v>1</v>
      </c>
      <c r="AQ166" s="119">
        <f>SUM(AO166:AP166)</f>
        <v>2</v>
      </c>
    </row>
    <row r="167" spans="3:43" ht="4.95" customHeight="1" x14ac:dyDescent="0.3"/>
    <row r="168" spans="3:43" ht="15" customHeight="1" x14ac:dyDescent="0.3">
      <c r="C168" s="74"/>
      <c r="D168" s="4" t="s">
        <v>129</v>
      </c>
      <c r="F168" s="74"/>
      <c r="G168" s="4" t="s">
        <v>130</v>
      </c>
      <c r="I168" s="4" t="s">
        <v>374</v>
      </c>
      <c r="J168" s="6"/>
      <c r="K168" s="6"/>
      <c r="L168" s="6"/>
      <c r="AE168" s="2" t="s">
        <v>381</v>
      </c>
      <c r="AF168" s="74"/>
      <c r="AG168" s="4" t="s">
        <v>129</v>
      </c>
      <c r="AI168" s="74"/>
      <c r="AJ168" s="4" t="s">
        <v>130</v>
      </c>
      <c r="AL168" s="119">
        <f>IF(AND(ISBLANK(C168),ISBLANK(F168)),1,2)</f>
        <v>1</v>
      </c>
      <c r="AM168" s="119">
        <f>IF(ISBLANK(C168),1,2)</f>
        <v>1</v>
      </c>
      <c r="AN168" s="119">
        <f>IF(AND(LEN(C168)&gt;0,LEN(F168)&gt;0),4,1)</f>
        <v>1</v>
      </c>
      <c r="AO168" s="119">
        <f>IF(ISBLANK(AF168),1,2)</f>
        <v>1</v>
      </c>
      <c r="AP168" s="119">
        <f>IF(ISBLANK(AI168),1,2)</f>
        <v>1</v>
      </c>
      <c r="AQ168" s="119">
        <f>SUM(AO168:AP168)</f>
        <v>2</v>
      </c>
    </row>
    <row r="169" spans="3:43" ht="4.95" customHeight="1" x14ac:dyDescent="0.3"/>
    <row r="170" spans="3:43" ht="15" customHeight="1" x14ac:dyDescent="0.3">
      <c r="C170" s="74"/>
      <c r="D170" s="4" t="s">
        <v>129</v>
      </c>
      <c r="F170" s="74"/>
      <c r="G170" s="4" t="s">
        <v>130</v>
      </c>
      <c r="I170" s="4" t="s">
        <v>375</v>
      </c>
      <c r="J170" s="6"/>
      <c r="K170" s="6"/>
      <c r="L170" s="6"/>
      <c r="AE170" s="2" t="s">
        <v>381</v>
      </c>
      <c r="AF170" s="74"/>
      <c r="AG170" s="4" t="s">
        <v>129</v>
      </c>
      <c r="AI170" s="74"/>
      <c r="AJ170" s="4" t="s">
        <v>130</v>
      </c>
      <c r="AL170" s="119">
        <f>IF(AND(ISBLANK(C170),ISBLANK(F170)),1,2)</f>
        <v>1</v>
      </c>
      <c r="AM170" s="119">
        <f>IF(ISBLANK(C170),1,2)</f>
        <v>1</v>
      </c>
      <c r="AN170" s="119">
        <f>IF(AND(LEN(C170)&gt;0,LEN(F170)&gt;0),4,1)</f>
        <v>1</v>
      </c>
      <c r="AO170" s="119">
        <f>IF(ISBLANK(AF170),1,2)</f>
        <v>1</v>
      </c>
      <c r="AP170" s="119">
        <f>IF(ISBLANK(AI170),1,2)</f>
        <v>1</v>
      </c>
      <c r="AQ170" s="119">
        <f>SUM(AO170:AP170)</f>
        <v>2</v>
      </c>
    </row>
    <row r="171" spans="3:43" ht="4.95" customHeight="1" x14ac:dyDescent="0.3"/>
    <row r="172" spans="3:43" ht="15" customHeight="1" x14ac:dyDescent="0.3">
      <c r="C172" s="74"/>
      <c r="D172" s="4" t="s">
        <v>129</v>
      </c>
      <c r="F172" s="74"/>
      <c r="G172" s="4" t="s">
        <v>130</v>
      </c>
      <c r="I172" s="4" t="s">
        <v>380</v>
      </c>
      <c r="J172" s="6"/>
      <c r="K172" s="6"/>
      <c r="L172" s="6"/>
      <c r="AE172" s="2" t="s">
        <v>381</v>
      </c>
      <c r="AF172" s="74"/>
      <c r="AG172" s="4" t="s">
        <v>129</v>
      </c>
      <c r="AI172" s="74"/>
      <c r="AJ172" s="4" t="s">
        <v>130</v>
      </c>
      <c r="AL172" s="119">
        <f>IF(AND(ISBLANK(C172),ISBLANK(F172)),1,2)</f>
        <v>1</v>
      </c>
      <c r="AM172" s="119">
        <f>IF(ISBLANK(C172),1,2)</f>
        <v>1</v>
      </c>
      <c r="AN172" s="119">
        <f>IF(AND(LEN(C172)&gt;0,LEN(F172)&gt;0),4,1)</f>
        <v>1</v>
      </c>
      <c r="AO172" s="119">
        <f>IF(ISBLANK(AF172),1,2)</f>
        <v>1</v>
      </c>
      <c r="AP172" s="119">
        <f>IF(ISBLANK(AI172),1,2)</f>
        <v>1</v>
      </c>
      <c r="AQ172" s="119">
        <f>SUM(AO172:AP172)</f>
        <v>2</v>
      </c>
    </row>
    <row r="173" spans="3:43" ht="4.95" customHeight="1" x14ac:dyDescent="0.3"/>
    <row r="174" spans="3:43" ht="15" customHeight="1" x14ac:dyDescent="0.3">
      <c r="C174" s="74"/>
      <c r="D174" s="4" t="s">
        <v>129</v>
      </c>
      <c r="F174" s="74"/>
      <c r="G174" s="4" t="s">
        <v>130</v>
      </c>
      <c r="I174" s="4" t="s">
        <v>376</v>
      </c>
      <c r="J174" s="6"/>
      <c r="K174" s="6"/>
      <c r="L174" s="6"/>
      <c r="AE174" s="2" t="s">
        <v>381</v>
      </c>
      <c r="AF174" s="74"/>
      <c r="AG174" s="4" t="s">
        <v>129</v>
      </c>
      <c r="AI174" s="74"/>
      <c r="AJ174" s="4" t="s">
        <v>130</v>
      </c>
      <c r="AL174" s="119">
        <f>IF(AND(ISBLANK(C174),ISBLANK(F174)),1,2)</f>
        <v>1</v>
      </c>
      <c r="AM174" s="119">
        <f>IF(ISBLANK(C174),1,2)</f>
        <v>1</v>
      </c>
      <c r="AN174" s="119">
        <f>IF(AND(LEN(C174)&gt;0,LEN(F174)&gt;0),4,1)</f>
        <v>1</v>
      </c>
      <c r="AO174" s="119">
        <f>IF(ISBLANK(AF174),1,2)</f>
        <v>1</v>
      </c>
      <c r="AP174" s="119">
        <f>IF(ISBLANK(AI174),1,2)</f>
        <v>1</v>
      </c>
      <c r="AQ174" s="119">
        <f>SUM(AO174:AP174)</f>
        <v>2</v>
      </c>
    </row>
    <row r="175" spans="3:43" ht="4.95" customHeight="1" x14ac:dyDescent="0.3"/>
    <row r="176" spans="3:43" ht="15" customHeight="1" x14ac:dyDescent="0.3">
      <c r="C176" s="74"/>
      <c r="D176" s="4" t="s">
        <v>129</v>
      </c>
      <c r="F176" s="74"/>
      <c r="G176" s="4" t="s">
        <v>130</v>
      </c>
      <c r="I176" s="4" t="s">
        <v>378</v>
      </c>
      <c r="J176" s="6"/>
      <c r="K176" s="6"/>
      <c r="L176" s="6"/>
      <c r="AE176" s="2" t="s">
        <v>381</v>
      </c>
      <c r="AF176" s="74"/>
      <c r="AG176" s="4" t="s">
        <v>129</v>
      </c>
      <c r="AI176" s="74"/>
      <c r="AJ176" s="4" t="s">
        <v>130</v>
      </c>
      <c r="AL176" s="119">
        <f>IF(AND(ISBLANK(C176),ISBLANK(F176)),1,2)</f>
        <v>1</v>
      </c>
      <c r="AM176" s="119">
        <f>IF(ISBLANK(C176),1,2)</f>
        <v>1</v>
      </c>
      <c r="AN176" s="119">
        <f>IF(AND(LEN(C176)&gt;0,LEN(F176)&gt;0),4,1)</f>
        <v>1</v>
      </c>
      <c r="AO176" s="119">
        <f>IF(ISBLANK(AF176),1,2)</f>
        <v>1</v>
      </c>
      <c r="AP176" s="119">
        <f>IF(ISBLANK(AI176),1,2)</f>
        <v>1</v>
      </c>
      <c r="AQ176" s="119">
        <f>SUM(AO176:AP176)</f>
        <v>2</v>
      </c>
    </row>
    <row r="177" spans="2:43" ht="4.95" customHeight="1" x14ac:dyDescent="0.3"/>
    <row r="178" spans="2:43" ht="15" customHeight="1" x14ac:dyDescent="0.3">
      <c r="C178" s="74"/>
      <c r="D178" s="4" t="s">
        <v>129</v>
      </c>
      <c r="F178" s="74"/>
      <c r="G178" s="4" t="s">
        <v>130</v>
      </c>
      <c r="I178" s="4" t="s">
        <v>379</v>
      </c>
      <c r="J178" s="6"/>
      <c r="K178" s="6"/>
      <c r="L178" s="6"/>
      <c r="AE178" s="2" t="s">
        <v>381</v>
      </c>
      <c r="AF178" s="74"/>
      <c r="AG178" s="4" t="s">
        <v>129</v>
      </c>
      <c r="AI178" s="74"/>
      <c r="AJ178" s="4" t="s">
        <v>130</v>
      </c>
      <c r="AL178" s="119">
        <f>IF(AND(ISBLANK(C178),ISBLANK(F178)),1,2)</f>
        <v>1</v>
      </c>
      <c r="AM178" s="119">
        <f>IF(ISBLANK(C178),1,2)</f>
        <v>1</v>
      </c>
      <c r="AN178" s="119">
        <f>IF(AND(LEN(C178)&gt;0,LEN(F178)&gt;0),4,1)</f>
        <v>1</v>
      </c>
      <c r="AO178" s="119">
        <f>IF(ISBLANK(AF178),1,2)</f>
        <v>1</v>
      </c>
      <c r="AP178" s="119">
        <f>IF(ISBLANK(AI178),1,2)</f>
        <v>1</v>
      </c>
      <c r="AQ178" s="119">
        <f>SUM(AO178:AP178)</f>
        <v>2</v>
      </c>
    </row>
    <row r="179" spans="2:43" ht="4.95" customHeight="1" x14ac:dyDescent="0.3"/>
    <row r="180" spans="2:43" ht="15" customHeight="1" x14ac:dyDescent="0.3">
      <c r="C180" s="74"/>
      <c r="D180" s="4" t="s">
        <v>129</v>
      </c>
      <c r="F180" s="74"/>
      <c r="G180" s="4" t="s">
        <v>130</v>
      </c>
      <c r="I180" s="4" t="s">
        <v>377</v>
      </c>
      <c r="J180" s="6"/>
      <c r="K180" s="6"/>
      <c r="L180" s="184"/>
      <c r="M180" s="184"/>
      <c r="N180" s="184"/>
      <c r="O180" s="184"/>
      <c r="P180" s="184"/>
      <c r="Q180" s="184"/>
      <c r="R180" s="184"/>
      <c r="S180" s="184"/>
      <c r="T180" s="184"/>
      <c r="AE180" s="2" t="s">
        <v>381</v>
      </c>
      <c r="AF180" s="74"/>
      <c r="AG180" s="4" t="s">
        <v>129</v>
      </c>
      <c r="AI180" s="74"/>
      <c r="AJ180" s="4" t="s">
        <v>130</v>
      </c>
      <c r="AL180" s="119">
        <f>IF(AND(ISBLANK(C180),ISBLANK(F180)),1,2)</f>
        <v>1</v>
      </c>
      <c r="AM180" s="119">
        <f>IF(ISBLANK(C180),1,2)</f>
        <v>1</v>
      </c>
      <c r="AN180" s="119">
        <f>IF(AND(LEN(C180)&gt;0,LEN(F180)&gt;0),4,1)</f>
        <v>1</v>
      </c>
      <c r="AO180" s="119">
        <f>IF(ISBLANK(AF180),1,2)</f>
        <v>1</v>
      </c>
      <c r="AP180" s="119">
        <f>IF(ISBLANK(AI180),1,2)</f>
        <v>1</v>
      </c>
      <c r="AQ180" s="119">
        <f>SUM(AO180:AP180)</f>
        <v>2</v>
      </c>
    </row>
    <row r="181" spans="2:43" ht="15" customHeight="1" x14ac:dyDescent="0.3"/>
    <row r="182" spans="2:43" ht="15" customHeight="1" x14ac:dyDescent="0.3">
      <c r="B182" s="35" t="s">
        <v>85</v>
      </c>
      <c r="C182" s="98"/>
      <c r="D182" s="98"/>
      <c r="E182" s="98"/>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7"/>
      <c r="AL182" s="56" t="s">
        <v>255</v>
      </c>
    </row>
    <row r="183" spans="2:43" ht="15" customHeight="1" x14ac:dyDescent="0.3">
      <c r="B183" s="38"/>
      <c r="C183" s="39"/>
      <c r="D183" s="39"/>
      <c r="E183" s="39"/>
      <c r="F183" s="39"/>
      <c r="G183" s="39"/>
      <c r="H183" s="39"/>
      <c r="I183" s="39"/>
      <c r="J183" s="39"/>
      <c r="K183" s="46" t="s">
        <v>86</v>
      </c>
      <c r="L183" s="46"/>
      <c r="M183" s="47" t="s">
        <v>87</v>
      </c>
      <c r="N183" s="47"/>
      <c r="O183" s="47"/>
      <c r="P183" s="47"/>
      <c r="Q183" s="47"/>
      <c r="R183" s="47"/>
      <c r="S183" s="47"/>
      <c r="T183" s="39"/>
      <c r="U183" s="39"/>
      <c r="V183" s="39"/>
      <c r="W183" s="39"/>
      <c r="X183" s="39"/>
      <c r="Y183" s="39"/>
      <c r="Z183" s="39"/>
      <c r="AA183" s="39"/>
      <c r="AB183" s="39"/>
      <c r="AC183" s="39"/>
      <c r="AD183" s="39"/>
      <c r="AE183" s="39"/>
      <c r="AF183" s="39"/>
      <c r="AG183" s="39"/>
      <c r="AH183" s="39"/>
      <c r="AI183" s="39"/>
      <c r="AJ183" s="40"/>
      <c r="AL183" s="119">
        <f>SUM(AL184:AL197)</f>
        <v>11</v>
      </c>
    </row>
    <row r="184" spans="2:43" ht="15" customHeight="1" x14ac:dyDescent="0.3">
      <c r="B184" s="38"/>
      <c r="C184" s="39"/>
      <c r="D184" s="39"/>
      <c r="E184" s="39"/>
      <c r="F184" s="39"/>
      <c r="G184" s="39"/>
      <c r="H184" s="39"/>
      <c r="I184" s="39"/>
      <c r="J184" s="39"/>
      <c r="K184" s="41" t="s">
        <v>88</v>
      </c>
      <c r="L184" s="41"/>
      <c r="M184" s="39" t="str">
        <f>IF(AND(AL32&lt;6,AM32=6),Tables!G2,IF(AND(AL32=6,AM32=6),"",Tables!G2))</f>
        <v>Pre Total not completed</v>
      </c>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40"/>
      <c r="AL184" s="119">
        <f>IF(M184="",0,1)</f>
        <v>1</v>
      </c>
    </row>
    <row r="185" spans="2:43" ht="15" customHeight="1" x14ac:dyDescent="0.3">
      <c r="B185" s="38"/>
      <c r="C185" s="39"/>
      <c r="D185" s="39"/>
      <c r="E185" s="39"/>
      <c r="F185" s="39"/>
      <c r="G185" s="39"/>
      <c r="H185" s="39"/>
      <c r="I185" s="39"/>
      <c r="J185" s="39"/>
      <c r="K185" s="41" t="s">
        <v>89</v>
      </c>
      <c r="L185" s="41"/>
      <c r="M185" s="39" t="str">
        <f>IF(AND(AL45&lt;6,AM45=6),Tables!G3,IF(AND(AL45=6,AM45=6),"",Tables!G3))</f>
        <v>Post Total not completed</v>
      </c>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40"/>
      <c r="AL185" s="119">
        <f t="shared" ref="AL185:AL197" si="16">IF(M185="",0,1)</f>
        <v>1</v>
      </c>
    </row>
    <row r="186" spans="2:43" ht="15" customHeight="1" x14ac:dyDescent="0.3">
      <c r="B186" s="38"/>
      <c r="C186" s="39"/>
      <c r="D186" s="39"/>
      <c r="E186" s="39"/>
      <c r="F186" s="39"/>
      <c r="G186" s="39"/>
      <c r="H186" s="39"/>
      <c r="I186" s="39"/>
      <c r="J186" s="39"/>
      <c r="K186" s="41"/>
      <c r="L186" s="41"/>
      <c r="M186" s="39" t="str">
        <f>IF(AND(AL53=1,AN53=1),Tables!G15,IF(OR(AM53=2,AO53=2),Tables!G15,""))</f>
        <v>Have post-construction CNs been adjusted to account for mass grading?</v>
      </c>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40"/>
      <c r="AL186" s="119">
        <f t="shared" si="16"/>
        <v>1</v>
      </c>
    </row>
    <row r="187" spans="2:43" ht="15" customHeight="1" x14ac:dyDescent="0.3">
      <c r="B187" s="38"/>
      <c r="C187" s="39"/>
      <c r="D187" s="39"/>
      <c r="E187" s="39"/>
      <c r="F187" s="39"/>
      <c r="G187" s="39"/>
      <c r="H187" s="39"/>
      <c r="I187" s="39"/>
      <c r="J187" s="39"/>
      <c r="K187" s="41" t="s">
        <v>90</v>
      </c>
      <c r="L187" s="41"/>
      <c r="M187" s="39" t="str">
        <f>IF(AM80&lt;6,Tables!G4,"")</f>
        <v>Emergency Spillway Section not completed</v>
      </c>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40"/>
      <c r="AL187" s="119">
        <f t="shared" si="16"/>
        <v>1</v>
      </c>
    </row>
    <row r="188" spans="2:43" ht="15" customHeight="1" x14ac:dyDescent="0.3">
      <c r="B188" s="38"/>
      <c r="C188" s="39"/>
      <c r="D188" s="39"/>
      <c r="E188" s="39"/>
      <c r="F188" s="39"/>
      <c r="G188" s="39"/>
      <c r="H188" s="39"/>
      <c r="I188" s="39"/>
      <c r="J188" s="39"/>
      <c r="K188" s="41" t="s">
        <v>224</v>
      </c>
      <c r="L188" s="41"/>
      <c r="M188" s="39" t="str">
        <f>IF(OR(AL111&lt;1,AL112&lt;1),Tables!G11,"")</f>
        <v>Freeboard  &lt;  1.0 ft</v>
      </c>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40"/>
      <c r="AL188" s="119">
        <f t="shared" si="16"/>
        <v>1</v>
      </c>
    </row>
    <row r="189" spans="2:43" ht="15" customHeight="1" x14ac:dyDescent="0.3">
      <c r="B189" s="38"/>
      <c r="C189" s="39"/>
      <c r="D189" s="39"/>
      <c r="E189" s="39"/>
      <c r="F189" s="39"/>
      <c r="G189" s="39"/>
      <c r="H189" s="39"/>
      <c r="I189" s="39"/>
      <c r="J189" s="39"/>
      <c r="K189" s="41" t="s">
        <v>117</v>
      </c>
      <c r="L189" s="41"/>
      <c r="M189" s="39" t="str">
        <f>IF(AM85&lt;2,Tables!G8,"")</f>
        <v>Latitude and/or Longitude not provided</v>
      </c>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40"/>
      <c r="AL189" s="119">
        <f t="shared" si="16"/>
        <v>1</v>
      </c>
    </row>
    <row r="190" spans="2:43" ht="15" customHeight="1" x14ac:dyDescent="0.3">
      <c r="B190" s="38"/>
      <c r="C190" s="39"/>
      <c r="D190" s="39"/>
      <c r="E190" s="39"/>
      <c r="F190" s="39"/>
      <c r="G190" s="39"/>
      <c r="H190" s="39"/>
      <c r="I190" s="39"/>
      <c r="J190" s="39"/>
      <c r="K190" s="41" t="s">
        <v>158</v>
      </c>
      <c r="L190" s="41"/>
      <c r="M190" s="39" t="str">
        <f>IF(AM99=2,Tables!G9,IF(AM98=1,"",Tables!G9))</f>
        <v>WQv Required &gt; WQv Provided</v>
      </c>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40"/>
      <c r="AL190" s="119">
        <f t="shared" si="16"/>
        <v>1</v>
      </c>
    </row>
    <row r="191" spans="2:43" ht="15" customHeight="1" x14ac:dyDescent="0.3">
      <c r="B191" s="38"/>
      <c r="C191" s="39"/>
      <c r="D191" s="39"/>
      <c r="E191" s="39"/>
      <c r="F191" s="39"/>
      <c r="G191" s="39"/>
      <c r="H191" s="39"/>
      <c r="I191" s="39"/>
      <c r="J191" s="39"/>
      <c r="K191" s="127" t="s">
        <v>91</v>
      </c>
      <c r="L191" s="41"/>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40"/>
      <c r="AL191" s="119">
        <f t="shared" si="16"/>
        <v>0</v>
      </c>
    </row>
    <row r="192" spans="2:43" ht="15" customHeight="1" x14ac:dyDescent="0.3">
      <c r="B192" s="38"/>
      <c r="C192" s="39"/>
      <c r="D192" s="39"/>
      <c r="E192" s="39"/>
      <c r="F192" s="39"/>
      <c r="G192" s="39"/>
      <c r="H192" s="39"/>
      <c r="I192" s="39"/>
      <c r="J192" s="39"/>
      <c r="K192" s="41" t="s">
        <v>84</v>
      </c>
      <c r="L192" s="41"/>
      <c r="M192" s="39" t="str">
        <f>IF(AL106&gt;0,Tables!G7,"")</f>
        <v>Max Stage for 2, 5, 10, and/or 25-year storm  &gt; Emergency Spillway Crest Elevation</v>
      </c>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40"/>
      <c r="AL192" s="119">
        <f t="shared" si="16"/>
        <v>1</v>
      </c>
    </row>
    <row r="193" spans="2:38" ht="15" customHeight="1" x14ac:dyDescent="0.3">
      <c r="B193" s="38"/>
      <c r="C193" s="39"/>
      <c r="D193" s="39"/>
      <c r="E193" s="39"/>
      <c r="F193" s="39"/>
      <c r="G193" s="39"/>
      <c r="H193" s="39"/>
      <c r="I193" s="39"/>
      <c r="J193" s="39"/>
      <c r="K193" s="41" t="s">
        <v>191</v>
      </c>
      <c r="L193" s="41"/>
      <c r="M193" s="39" t="str">
        <f>IF(AM106&gt;0,Tables!G6,"")</f>
        <v>Velocity &gt; 5 ft/s</v>
      </c>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40"/>
      <c r="AL193" s="119">
        <f t="shared" si="16"/>
        <v>1</v>
      </c>
    </row>
    <row r="194" spans="2:38" ht="15" customHeight="1" x14ac:dyDescent="0.3">
      <c r="B194" s="38"/>
      <c r="C194" s="39"/>
      <c r="D194" s="39"/>
      <c r="E194" s="39"/>
      <c r="F194" s="39"/>
      <c r="G194" s="39"/>
      <c r="H194" s="39"/>
      <c r="I194" s="39"/>
      <c r="J194" s="39"/>
      <c r="K194" s="41" t="s">
        <v>92</v>
      </c>
      <c r="L194" s="41"/>
      <c r="M194" s="39" t="str">
        <f>IF(OR(AN106&gt;0,AO106&gt;0),Tables!G5,"")</f>
        <v>Total Post Q &gt; Pre Q</v>
      </c>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40"/>
      <c r="AL194" s="119">
        <f t="shared" si="16"/>
        <v>1</v>
      </c>
    </row>
    <row r="195" spans="2:38" ht="15" customHeight="1" x14ac:dyDescent="0.3">
      <c r="B195" s="38"/>
      <c r="C195" s="39"/>
      <c r="D195" s="39"/>
      <c r="E195" s="39"/>
      <c r="F195" s="39"/>
      <c r="G195" s="39"/>
      <c r="H195" s="39"/>
      <c r="I195" s="39"/>
      <c r="J195" s="39"/>
      <c r="K195" s="41"/>
      <c r="L195" s="41"/>
      <c r="M195" s="39" t="str">
        <f>IF($AQ$106&gt;0,Tables!$G$12,"")</f>
        <v>Total Post Q is &lt; -0.50 ft3/s of Pre Q</v>
      </c>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40"/>
      <c r="AL195" s="119">
        <f t="shared" si="16"/>
        <v>1</v>
      </c>
    </row>
    <row r="196" spans="2:38" ht="15" customHeight="1" x14ac:dyDescent="0.3">
      <c r="B196" s="38"/>
      <c r="C196" s="39"/>
      <c r="D196" s="39"/>
      <c r="E196" s="39"/>
      <c r="F196" s="39"/>
      <c r="G196" s="39"/>
      <c r="H196" s="39"/>
      <c r="I196" s="39"/>
      <c r="J196" s="39"/>
      <c r="K196" s="41"/>
      <c r="L196" s="41"/>
      <c r="M196" s="39" t="str">
        <f>IF(AO150="Yes",IF(AND(ISBLANK($C$150),ISBLANK($F$150)),Tables!$G$14,IF($AO$106&gt;0,Tables!$G$14,"")),"")</f>
        <v/>
      </c>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40"/>
      <c r="AL196" s="119">
        <f t="shared" si="16"/>
        <v>0</v>
      </c>
    </row>
    <row r="197" spans="2:38" ht="15" customHeight="1" x14ac:dyDescent="0.3">
      <c r="B197" s="42"/>
      <c r="C197" s="43"/>
      <c r="D197" s="43"/>
      <c r="E197" s="43"/>
      <c r="F197" s="43"/>
      <c r="G197" s="43"/>
      <c r="H197" s="43"/>
      <c r="I197" s="43"/>
      <c r="J197" s="43"/>
      <c r="K197" s="44"/>
      <c r="L197" s="44"/>
      <c r="M197" s="43" t="str">
        <f>IF(AO152="Yes",IF(AND(ISBLANK($C$152),ISBLANK($F$152)),Tables!G$16,IF($AP$106&gt;0,Tables!$G$16,"")),"")</f>
        <v/>
      </c>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5"/>
      <c r="AL197" s="119">
        <f t="shared" si="16"/>
        <v>0</v>
      </c>
    </row>
    <row r="198" spans="2:38" ht="15" customHeight="1" x14ac:dyDescent="0.3"/>
    <row r="199" spans="2:38" ht="15" customHeight="1" x14ac:dyDescent="0.3">
      <c r="B199" s="167">
        <f>Tables!$C$13</f>
        <v>45566</v>
      </c>
      <c r="C199" s="167"/>
      <c r="D199" s="167"/>
      <c r="E199" s="167"/>
      <c r="F199" s="167"/>
      <c r="G199" s="96"/>
      <c r="H199" s="96"/>
      <c r="I199" s="96"/>
      <c r="R199" s="6" t="s">
        <v>276</v>
      </c>
    </row>
    <row r="200" spans="2:38" ht="15" customHeight="1" x14ac:dyDescent="0.3"/>
    <row r="201" spans="2:38" ht="15" customHeight="1" x14ac:dyDescent="0.3"/>
    <row r="202" spans="2:38" ht="15" customHeight="1" x14ac:dyDescent="0.3"/>
    <row r="203" spans="2:38" ht="15" customHeight="1" x14ac:dyDescent="0.3"/>
    <row r="204" spans="2:38" ht="15" customHeight="1" x14ac:dyDescent="0.3"/>
    <row r="205" spans="2:38" ht="15" customHeight="1" x14ac:dyDescent="0.3"/>
    <row r="206" spans="2:38" ht="13.8" x14ac:dyDescent="0.3"/>
  </sheetData>
  <sheetProtection algorithmName="SHA-512" hashValue="H74pd9R32o8FBvnVi51wlcY9oQqrONx8ujF5/FeTUgLmV6gBpj2JDrF+q7ugxFHUT0C7NXMb/nB6oItUPJHCQw==" saltValue="zpGAwmnJK9TByEECmUXETw==" spinCount="100000" sheet="1" objects="1" scenarios="1" selectLockedCells="1"/>
  <mergeCells count="349">
    <mergeCell ref="S93:U93"/>
    <mergeCell ref="M92:P92"/>
    <mergeCell ref="M93:P93"/>
    <mergeCell ref="M94:P94"/>
    <mergeCell ref="M95:P95"/>
    <mergeCell ref="M96:P96"/>
    <mergeCell ref="B72:D72"/>
    <mergeCell ref="F81:I81"/>
    <mergeCell ref="F82:H82"/>
    <mergeCell ref="O81:Q81"/>
    <mergeCell ref="O82:Q82"/>
    <mergeCell ref="B77:D77"/>
    <mergeCell ref="S73:U73"/>
    <mergeCell ref="S76:U76"/>
    <mergeCell ref="S77:U77"/>
    <mergeCell ref="I76:K76"/>
    <mergeCell ref="I77:K77"/>
    <mergeCell ref="N73:P73"/>
    <mergeCell ref="N74:P74"/>
    <mergeCell ref="N75:P75"/>
    <mergeCell ref="N76:P76"/>
    <mergeCell ref="N77:P77"/>
    <mergeCell ref="I73:K73"/>
    <mergeCell ref="I74:K74"/>
    <mergeCell ref="BG1:BZ4"/>
    <mergeCell ref="M89:P89"/>
    <mergeCell ref="M90:P90"/>
    <mergeCell ref="M91:P91"/>
    <mergeCell ref="AS6:BF7"/>
    <mergeCell ref="B55:F55"/>
    <mergeCell ref="F7:Z7"/>
    <mergeCell ref="B57:J58"/>
    <mergeCell ref="J20:M20"/>
    <mergeCell ref="J21:M21"/>
    <mergeCell ref="J22:M22"/>
    <mergeCell ref="J23:M23"/>
    <mergeCell ref="J24:M24"/>
    <mergeCell ref="J25:M25"/>
    <mergeCell ref="J18:M18"/>
    <mergeCell ref="AA19:AD19"/>
    <mergeCell ref="W21:Z21"/>
    <mergeCell ref="E13:X13"/>
    <mergeCell ref="E14:X14"/>
    <mergeCell ref="W24:Z24"/>
    <mergeCell ref="W25:Z25"/>
    <mergeCell ref="F33:G33"/>
    <mergeCell ref="D33:E38"/>
    <mergeCell ref="D46:E51"/>
    <mergeCell ref="T29:V29"/>
    <mergeCell ref="T30:V30"/>
    <mergeCell ref="T31:V31"/>
    <mergeCell ref="T32:V32"/>
    <mergeCell ref="T33:V33"/>
    <mergeCell ref="P29:R29"/>
    <mergeCell ref="X29:Z29"/>
    <mergeCell ref="AB29:AD29"/>
    <mergeCell ref="AB30:AD30"/>
    <mergeCell ref="AB31:AD31"/>
    <mergeCell ref="AB32:AD32"/>
    <mergeCell ref="AB33:AD33"/>
    <mergeCell ref="P37:R37"/>
    <mergeCell ref="F36:G36"/>
    <mergeCell ref="F37:G37"/>
    <mergeCell ref="F38:G38"/>
    <mergeCell ref="L29:N29"/>
    <mergeCell ref="L30:N30"/>
    <mergeCell ref="L31:N31"/>
    <mergeCell ref="L32:N32"/>
    <mergeCell ref="L33:N33"/>
    <mergeCell ref="L34:N34"/>
    <mergeCell ref="L35:N35"/>
    <mergeCell ref="L36:N36"/>
    <mergeCell ref="L37:N37"/>
    <mergeCell ref="L38:N38"/>
    <mergeCell ref="F34:G34"/>
    <mergeCell ref="F35:G35"/>
    <mergeCell ref="P36:R36"/>
    <mergeCell ref="P30:R30"/>
    <mergeCell ref="P31:R31"/>
    <mergeCell ref="P32:R32"/>
    <mergeCell ref="P33:R33"/>
    <mergeCell ref="P34:R34"/>
    <mergeCell ref="P35:R35"/>
    <mergeCell ref="AF30:AH30"/>
    <mergeCell ref="AF31:AH31"/>
    <mergeCell ref="AF32:AH32"/>
    <mergeCell ref="AF33:AH33"/>
    <mergeCell ref="AF34:AH34"/>
    <mergeCell ref="T34:V34"/>
    <mergeCell ref="T35:V35"/>
    <mergeCell ref="T36:V36"/>
    <mergeCell ref="T37:V37"/>
    <mergeCell ref="X30:Z30"/>
    <mergeCell ref="X31:Z31"/>
    <mergeCell ref="X32:Z32"/>
    <mergeCell ref="X33:Z33"/>
    <mergeCell ref="X34:Z34"/>
    <mergeCell ref="AB34:AD34"/>
    <mergeCell ref="AB35:AD35"/>
    <mergeCell ref="AB36:AD36"/>
    <mergeCell ref="AB37:AD37"/>
    <mergeCell ref="L43:N43"/>
    <mergeCell ref="L44:N44"/>
    <mergeCell ref="L45:N45"/>
    <mergeCell ref="L46:N46"/>
    <mergeCell ref="L47:N47"/>
    <mergeCell ref="AF35:AH35"/>
    <mergeCell ref="AF36:AH36"/>
    <mergeCell ref="AF37:AH37"/>
    <mergeCell ref="AF38:AH38"/>
    <mergeCell ref="L42:N42"/>
    <mergeCell ref="P42:R42"/>
    <mergeCell ref="X42:Z42"/>
    <mergeCell ref="AB42:AD42"/>
    <mergeCell ref="X35:Z35"/>
    <mergeCell ref="X36:Z36"/>
    <mergeCell ref="X37:Z37"/>
    <mergeCell ref="X38:Z38"/>
    <mergeCell ref="AB38:AD38"/>
    <mergeCell ref="T38:V38"/>
    <mergeCell ref="P38:R38"/>
    <mergeCell ref="X47:Z47"/>
    <mergeCell ref="X43:Z43"/>
    <mergeCell ref="X44:Z44"/>
    <mergeCell ref="X45:Z45"/>
    <mergeCell ref="AB44:AD44"/>
    <mergeCell ref="AB45:AD45"/>
    <mergeCell ref="L48:N48"/>
    <mergeCell ref="L49:N49"/>
    <mergeCell ref="L50:N50"/>
    <mergeCell ref="L51:N51"/>
    <mergeCell ref="F46:G46"/>
    <mergeCell ref="F47:G47"/>
    <mergeCell ref="F48:G48"/>
    <mergeCell ref="F49:G49"/>
    <mergeCell ref="F50:G50"/>
    <mergeCell ref="F51:G51"/>
    <mergeCell ref="AB46:AD46"/>
    <mergeCell ref="AB47:AD47"/>
    <mergeCell ref="AB48:AD48"/>
    <mergeCell ref="AB49:AD49"/>
    <mergeCell ref="AB50:AD50"/>
    <mergeCell ref="AF44:AH44"/>
    <mergeCell ref="AF45:AH45"/>
    <mergeCell ref="AB51:AD51"/>
    <mergeCell ref="P48:R48"/>
    <mergeCell ref="P49:R49"/>
    <mergeCell ref="P50:R50"/>
    <mergeCell ref="P51:R51"/>
    <mergeCell ref="T42:V42"/>
    <mergeCell ref="T43:V43"/>
    <mergeCell ref="T44:V44"/>
    <mergeCell ref="T45:V45"/>
    <mergeCell ref="T46:V46"/>
    <mergeCell ref="T47:V47"/>
    <mergeCell ref="T48:V48"/>
    <mergeCell ref="T49:V49"/>
    <mergeCell ref="T50:V50"/>
    <mergeCell ref="T51:V51"/>
    <mergeCell ref="P43:R43"/>
    <mergeCell ref="P44:R44"/>
    <mergeCell ref="P45:R45"/>
    <mergeCell ref="P46:R46"/>
    <mergeCell ref="P47:R47"/>
    <mergeCell ref="X46:Z46"/>
    <mergeCell ref="AB43:AD43"/>
    <mergeCell ref="W1:AK4"/>
    <mergeCell ref="S67:U67"/>
    <mergeCell ref="S68:U68"/>
    <mergeCell ref="S72:U72"/>
    <mergeCell ref="D56:Y56"/>
    <mergeCell ref="AE56:AJ56"/>
    <mergeCell ref="N59:Q59"/>
    <mergeCell ref="N61:P61"/>
    <mergeCell ref="N62:P62"/>
    <mergeCell ref="E59:H59"/>
    <mergeCell ref="AE13:AJ13"/>
    <mergeCell ref="AE14:AJ14"/>
    <mergeCell ref="AE57:AJ57"/>
    <mergeCell ref="AF48:AH48"/>
    <mergeCell ref="AF49:AH49"/>
    <mergeCell ref="AF50:AH50"/>
    <mergeCell ref="AF43:AH43"/>
    <mergeCell ref="N67:P67"/>
    <mergeCell ref="N68:P68"/>
    <mergeCell ref="N72:P72"/>
    <mergeCell ref="I67:K67"/>
    <mergeCell ref="I68:K68"/>
    <mergeCell ref="I72:K72"/>
    <mergeCell ref="E60:G60"/>
    <mergeCell ref="E61:G61"/>
    <mergeCell ref="E62:G62"/>
    <mergeCell ref="E72:G72"/>
    <mergeCell ref="E73:G73"/>
    <mergeCell ref="E67:G67"/>
    <mergeCell ref="E68:G68"/>
    <mergeCell ref="S75:U75"/>
    <mergeCell ref="I75:K75"/>
    <mergeCell ref="S74:U74"/>
    <mergeCell ref="H92:J92"/>
    <mergeCell ref="AD88:AG88"/>
    <mergeCell ref="B73:D73"/>
    <mergeCell ref="B74:D74"/>
    <mergeCell ref="S78:U78"/>
    <mergeCell ref="I78:K78"/>
    <mergeCell ref="N78:P78"/>
    <mergeCell ref="E78:G78"/>
    <mergeCell ref="H88:J88"/>
    <mergeCell ref="O84:R84"/>
    <mergeCell ref="B75:D75"/>
    <mergeCell ref="B76:D76"/>
    <mergeCell ref="B78:D78"/>
    <mergeCell ref="C90:E90"/>
    <mergeCell ref="C91:E91"/>
    <mergeCell ref="W84:Z84"/>
    <mergeCell ref="W82:Y82"/>
    <mergeCell ref="AF82:AH82"/>
    <mergeCell ref="C88:E88"/>
    <mergeCell ref="M88:P88"/>
    <mergeCell ref="E74:G74"/>
    <mergeCell ref="E75:G75"/>
    <mergeCell ref="E76:G76"/>
    <mergeCell ref="E77:G77"/>
    <mergeCell ref="S88:U88"/>
    <mergeCell ref="X88:Z88"/>
    <mergeCell ref="H94:J94"/>
    <mergeCell ref="H95:J95"/>
    <mergeCell ref="AG112:AI112"/>
    <mergeCell ref="AG106:AJ106"/>
    <mergeCell ref="C97:E97"/>
    <mergeCell ref="H97:J97"/>
    <mergeCell ref="M97:P97"/>
    <mergeCell ref="X89:Z89"/>
    <mergeCell ref="X90:Z90"/>
    <mergeCell ref="X91:Z91"/>
    <mergeCell ref="X92:Z92"/>
    <mergeCell ref="X93:Z93"/>
    <mergeCell ref="S94:U94"/>
    <mergeCell ref="S95:U95"/>
    <mergeCell ref="S96:U96"/>
    <mergeCell ref="S97:U97"/>
    <mergeCell ref="S89:U89"/>
    <mergeCell ref="S90:U90"/>
    <mergeCell ref="S91:U91"/>
    <mergeCell ref="S92:U92"/>
    <mergeCell ref="C94:E94"/>
    <mergeCell ref="C95:E95"/>
    <mergeCell ref="C96:E96"/>
    <mergeCell ref="C89:E89"/>
    <mergeCell ref="AE103:AJ103"/>
    <mergeCell ref="AE104:AJ104"/>
    <mergeCell ref="AD93:AG93"/>
    <mergeCell ref="AD94:AG94"/>
    <mergeCell ref="AD95:AG95"/>
    <mergeCell ref="AD96:AG96"/>
    <mergeCell ref="AD92:AG92"/>
    <mergeCell ref="H96:J96"/>
    <mergeCell ref="C93:E93"/>
    <mergeCell ref="H93:J93"/>
    <mergeCell ref="X94:Z94"/>
    <mergeCell ref="X95:Z95"/>
    <mergeCell ref="X96:Z96"/>
    <mergeCell ref="X97:Z97"/>
    <mergeCell ref="AD97:AG97"/>
    <mergeCell ref="AD89:AG89"/>
    <mergeCell ref="AD90:AG90"/>
    <mergeCell ref="AD91:AG91"/>
    <mergeCell ref="C92:E92"/>
    <mergeCell ref="H89:J89"/>
    <mergeCell ref="H90:J90"/>
    <mergeCell ref="H91:J91"/>
    <mergeCell ref="U106:W106"/>
    <mergeCell ref="F107:G107"/>
    <mergeCell ref="S98:U98"/>
    <mergeCell ref="B102:F102"/>
    <mergeCell ref="H98:J98"/>
    <mergeCell ref="AD98:AG98"/>
    <mergeCell ref="D103:Y103"/>
    <mergeCell ref="M106:O106"/>
    <mergeCell ref="Q106:S106"/>
    <mergeCell ref="Y107:AA107"/>
    <mergeCell ref="AC106:AE106"/>
    <mergeCell ref="U107:W107"/>
    <mergeCell ref="Y106:AA106"/>
    <mergeCell ref="AC107:AE107"/>
    <mergeCell ref="Q107:S107"/>
    <mergeCell ref="M107:O107"/>
    <mergeCell ref="AF46:AH46"/>
    <mergeCell ref="AF47:AH47"/>
    <mergeCell ref="AF51:AH51"/>
    <mergeCell ref="X48:Z48"/>
    <mergeCell ref="X49:Z49"/>
    <mergeCell ref="X50:Z50"/>
    <mergeCell ref="X51:Z51"/>
    <mergeCell ref="AG107:AI107"/>
    <mergeCell ref="AG108:AI108"/>
    <mergeCell ref="AC108:AE108"/>
    <mergeCell ref="X67:Z67"/>
    <mergeCell ref="AC67:AE67"/>
    <mergeCell ref="F108:G108"/>
    <mergeCell ref="Y109:AA109"/>
    <mergeCell ref="Y110:AA110"/>
    <mergeCell ref="U109:W109"/>
    <mergeCell ref="U110:W110"/>
    <mergeCell ref="F109:G109"/>
    <mergeCell ref="U108:W108"/>
    <mergeCell ref="U111:W111"/>
    <mergeCell ref="Y108:AA108"/>
    <mergeCell ref="Q108:S108"/>
    <mergeCell ref="Q109:S109"/>
    <mergeCell ref="Q110:S110"/>
    <mergeCell ref="Q111:S111"/>
    <mergeCell ref="M108:O108"/>
    <mergeCell ref="AP139:AQ139"/>
    <mergeCell ref="L180:T180"/>
    <mergeCell ref="AG114:AH114"/>
    <mergeCell ref="AD142:AH142"/>
    <mergeCell ref="AC109:AE109"/>
    <mergeCell ref="AC110:AE110"/>
    <mergeCell ref="AC111:AE111"/>
    <mergeCell ref="AG109:AI109"/>
    <mergeCell ref="AG110:AI110"/>
    <mergeCell ref="AG111:AI111"/>
    <mergeCell ref="M109:O109"/>
    <mergeCell ref="M110:O110"/>
    <mergeCell ref="M111:O111"/>
    <mergeCell ref="F137:Z137"/>
    <mergeCell ref="F138:L138"/>
    <mergeCell ref="P138:S138"/>
    <mergeCell ref="F110:G110"/>
    <mergeCell ref="F111:G111"/>
    <mergeCell ref="B199:F199"/>
    <mergeCell ref="AE147:AJ147"/>
    <mergeCell ref="Y111:AA111"/>
    <mergeCell ref="Y112:AA112"/>
    <mergeCell ref="F112:G112"/>
    <mergeCell ref="D146:Y146"/>
    <mergeCell ref="AE146:AJ146"/>
    <mergeCell ref="AC112:AE112"/>
    <mergeCell ref="U112:W112"/>
    <mergeCell ref="B116:AJ124"/>
    <mergeCell ref="M112:O112"/>
    <mergeCell ref="F140:J140"/>
    <mergeCell ref="B145:F145"/>
    <mergeCell ref="X138:Z138"/>
    <mergeCell ref="F135:Z135"/>
    <mergeCell ref="F136:Z136"/>
    <mergeCell ref="F139:Z139"/>
    <mergeCell ref="Q112:S112"/>
  </mergeCells>
  <conditionalFormatting sqref="B72">
    <cfRule type="expression" dxfId="300" priority="172">
      <formula>$AL$72=1</formula>
    </cfRule>
    <cfRule type="cellIs" priority="171" operator="greaterThan">
      <formula>0</formula>
    </cfRule>
  </conditionalFormatting>
  <conditionalFormatting sqref="B116">
    <cfRule type="cellIs" priority="728" stopIfTrue="1" operator="greaterThan">
      <formula>0</formula>
    </cfRule>
    <cfRule type="expression" dxfId="299" priority="729">
      <formula>$AL$183&gt;0</formula>
    </cfRule>
  </conditionalFormatting>
  <conditionalFormatting sqref="C88">
    <cfRule type="expression" dxfId="298" priority="361">
      <formula>ISBLANK($C$88)</formula>
    </cfRule>
    <cfRule type="cellIs" priority="360" operator="greaterThan">
      <formula>0</formula>
    </cfRule>
  </conditionalFormatting>
  <conditionalFormatting sqref="C150 F150">
    <cfRule type="expression" dxfId="297" priority="127">
      <formula>$AL$150=1</formula>
    </cfRule>
  </conditionalFormatting>
  <conditionalFormatting sqref="C150">
    <cfRule type="expression" dxfId="296" priority="128">
      <formula>$AM$150=2</formula>
    </cfRule>
  </conditionalFormatting>
  <conditionalFormatting sqref="C152 F152">
    <cfRule type="expression" dxfId="295" priority="34">
      <formula>$AL152=1</formula>
    </cfRule>
  </conditionalFormatting>
  <conditionalFormatting sqref="C152">
    <cfRule type="expression" dxfId="294" priority="35">
      <formula>$AM152=2</formula>
    </cfRule>
  </conditionalFormatting>
  <conditionalFormatting sqref="C154 F154 C156 F156">
    <cfRule type="expression" dxfId="293" priority="122">
      <formula>$AL154=1</formula>
    </cfRule>
  </conditionalFormatting>
  <conditionalFormatting sqref="C156">
    <cfRule type="expression" dxfId="292" priority="125">
      <formula>$AM156=2</formula>
    </cfRule>
  </conditionalFormatting>
  <conditionalFormatting sqref="C158 F158">
    <cfRule type="expression" dxfId="291" priority="123">
      <formula>$AM$156=2</formula>
    </cfRule>
  </conditionalFormatting>
  <conditionalFormatting sqref="C162 F162">
    <cfRule type="expression" dxfId="290" priority="12">
      <formula>$AN162=4</formula>
    </cfRule>
    <cfRule type="expression" dxfId="289" priority="14">
      <formula>$AL162=1</formula>
    </cfRule>
  </conditionalFormatting>
  <conditionalFormatting sqref="C162">
    <cfRule type="expression" dxfId="288" priority="15">
      <formula>$AM162=2</formula>
    </cfRule>
  </conditionalFormatting>
  <conditionalFormatting sqref="C164 C166 C168 C170 C172 C174 C176 C178 C180">
    <cfRule type="expression" dxfId="287" priority="11">
      <formula>$AM164=2</formula>
    </cfRule>
  </conditionalFormatting>
  <conditionalFormatting sqref="C164 F164 C166 F166 C168 F168 C170 F170 C172 F172 C174 F174 C176 F176 C178 F178 C180 F180">
    <cfRule type="expression" dxfId="286" priority="9">
      <formula>$AN164=4</formula>
    </cfRule>
    <cfRule type="expression" dxfId="285" priority="10">
      <formula>$AL164=1</formula>
    </cfRule>
  </conditionalFormatting>
  <conditionalFormatting sqref="D56 D103">
    <cfRule type="cellIs" dxfId="284" priority="301" operator="equal">
      <formula>0</formula>
    </cfRule>
  </conditionalFormatting>
  <conditionalFormatting sqref="D146">
    <cfRule type="cellIs" dxfId="283" priority="195" operator="equal">
      <formula>0</formula>
    </cfRule>
  </conditionalFormatting>
  <conditionalFormatting sqref="E13:E14">
    <cfRule type="expression" dxfId="282" priority="318">
      <formula>ISBLANK(E13)</formula>
    </cfRule>
  </conditionalFormatting>
  <conditionalFormatting sqref="E59 N59">
    <cfRule type="expression" dxfId="281" priority="275">
      <formula>ISBLANK(E59)</formula>
    </cfRule>
  </conditionalFormatting>
  <conditionalFormatting sqref="E60">
    <cfRule type="cellIs" priority="202" stopIfTrue="1" operator="greaterThan">
      <formula>0</formula>
    </cfRule>
    <cfRule type="expression" dxfId="280" priority="203">
      <formula>$AL$60</formula>
    </cfRule>
    <cfRule type="expression" priority="201" stopIfTrue="1">
      <formula>$AL$61=2</formula>
    </cfRule>
  </conditionalFormatting>
  <conditionalFormatting sqref="E61 N61">
    <cfRule type="expression" dxfId="279" priority="200">
      <formula>$AL$61</formula>
    </cfRule>
    <cfRule type="cellIs" priority="199" stopIfTrue="1" operator="greaterThan">
      <formula>0</formula>
    </cfRule>
    <cfRule type="expression" priority="198" stopIfTrue="1">
      <formula>$AL$60=2</formula>
    </cfRule>
  </conditionalFormatting>
  <conditionalFormatting sqref="E64 I64">
    <cfRule type="expression" dxfId="278" priority="375">
      <formula>$AL$64=1</formula>
    </cfRule>
  </conditionalFormatting>
  <conditionalFormatting sqref="E67:E68">
    <cfRule type="expression" dxfId="277" priority="273">
      <formula>ISBLANK(E67)</formula>
    </cfRule>
  </conditionalFormatting>
  <conditionalFormatting sqref="E70 I70">
    <cfRule type="expression" dxfId="276" priority="380">
      <formula>$AL$70=1</formula>
    </cfRule>
  </conditionalFormatting>
  <conditionalFormatting sqref="E72:E78 I72 S72">
    <cfRule type="expression" dxfId="275" priority="193">
      <formula>$AL72=2</formula>
    </cfRule>
  </conditionalFormatting>
  <conditionalFormatting sqref="E72:E78">
    <cfRule type="cellIs" priority="192" stopIfTrue="1" operator="greaterThan">
      <formula>0</formula>
    </cfRule>
  </conditionalFormatting>
  <conditionalFormatting sqref="E62:G62 N62:P62">
    <cfRule type="expression" dxfId="274" priority="150">
      <formula>ISBLANK(E62)</formula>
    </cfRule>
  </conditionalFormatting>
  <conditionalFormatting sqref="F16 N16 V16">
    <cfRule type="expression" dxfId="273" priority="298">
      <formula>ISBLANK(F16)</formula>
    </cfRule>
  </conditionalFormatting>
  <conditionalFormatting sqref="F135:F136">
    <cfRule type="expression" dxfId="272" priority="307">
      <formula>ISBLANK(F135)</formula>
    </cfRule>
  </conditionalFormatting>
  <conditionalFormatting sqref="F138:F140">
    <cfRule type="expression" dxfId="271" priority="134">
      <formula>ISBLANK(F138)</formula>
    </cfRule>
  </conditionalFormatting>
  <conditionalFormatting sqref="F158 C158">
    <cfRule type="expression" priority="121" stopIfTrue="1">
      <formula>$AN$158=3</formula>
    </cfRule>
  </conditionalFormatting>
  <conditionalFormatting sqref="F158">
    <cfRule type="expression" dxfId="270" priority="118" stopIfTrue="1">
      <formula>$AM$158=2</formula>
    </cfRule>
  </conditionalFormatting>
  <conditionalFormatting sqref="F81:I81 O81:Q82 F82:H82 W82:Y82 AF82:AH82 O84:R84 W84:Z84">
    <cfRule type="expression" dxfId="269" priority="149">
      <formula>ISBLANK(F81)</formula>
    </cfRule>
  </conditionalFormatting>
  <conditionalFormatting sqref="F137:Z137">
    <cfRule type="expression" dxfId="268" priority="137">
      <formula>ISBLANK(F137)</formula>
    </cfRule>
  </conditionalFormatting>
  <conditionalFormatting sqref="H88 M88">
    <cfRule type="cellIs" priority="169" operator="greaterThan">
      <formula>0</formula>
    </cfRule>
    <cfRule type="expression" dxfId="267" priority="170">
      <formula>$AL$88=2</formula>
    </cfRule>
  </conditionalFormatting>
  <conditionalFormatting sqref="H88">
    <cfRule type="expression" priority="168" stopIfTrue="1">
      <formula>$AN$88=2</formula>
    </cfRule>
  </conditionalFormatting>
  <conditionalFormatting sqref="H89 M89">
    <cfRule type="expression" dxfId="266" priority="250">
      <formula>$AL$89=2</formula>
    </cfRule>
  </conditionalFormatting>
  <conditionalFormatting sqref="H89:H97 M89:M97">
    <cfRule type="cellIs" priority="233" stopIfTrue="1" operator="greaterThan">
      <formula>0</formula>
    </cfRule>
  </conditionalFormatting>
  <conditionalFormatting sqref="H90 M90">
    <cfRule type="expression" dxfId="265" priority="248">
      <formula>$AL$90=2</formula>
    </cfRule>
  </conditionalFormatting>
  <conditionalFormatting sqref="H91 M91">
    <cfRule type="expression" dxfId="264" priority="246">
      <formula>$AL$91=2</formula>
    </cfRule>
  </conditionalFormatting>
  <conditionalFormatting sqref="H92 M92">
    <cfRule type="expression" dxfId="263" priority="244">
      <formula>$AL$92=2</formula>
    </cfRule>
  </conditionalFormatting>
  <conditionalFormatting sqref="H93 M93">
    <cfRule type="expression" dxfId="262" priority="242">
      <formula>$AL$93=2</formula>
    </cfRule>
  </conditionalFormatting>
  <conditionalFormatting sqref="H94 M94">
    <cfRule type="expression" dxfId="261" priority="240">
      <formula>$AL$94=2</formula>
    </cfRule>
  </conditionalFormatting>
  <conditionalFormatting sqref="H95 M95">
    <cfRule type="expression" dxfId="260" priority="238">
      <formula>$AL$95=2</formula>
    </cfRule>
  </conditionalFormatting>
  <conditionalFormatting sqref="H96 M96">
    <cfRule type="expression" dxfId="259" priority="236">
      <formula>$AL$96=2</formula>
    </cfRule>
  </conditionalFormatting>
  <conditionalFormatting sqref="H97 M97">
    <cfRule type="expression" dxfId="258" priority="234">
      <formula>$AL$97=2</formula>
    </cfRule>
  </conditionalFormatting>
  <conditionalFormatting sqref="H98:J98">
    <cfRule type="cellIs" dxfId="257" priority="33" operator="equal">
      <formula>0</formula>
    </cfRule>
  </conditionalFormatting>
  <conditionalFormatting sqref="I67 S67">
    <cfRule type="expression" dxfId="256" priority="377">
      <formula>$AL$67=2</formula>
    </cfRule>
  </conditionalFormatting>
  <conditionalFormatting sqref="I67:I68 S67:S68">
    <cfRule type="cellIs" dxfId="255" priority="376" operator="greaterThan">
      <formula>0</formula>
    </cfRule>
  </conditionalFormatting>
  <conditionalFormatting sqref="I68 S68">
    <cfRule type="expression" dxfId="254" priority="379">
      <formula>$AL$68=2</formula>
    </cfRule>
  </conditionalFormatting>
  <conditionalFormatting sqref="I70">
    <cfRule type="expression" dxfId="253" priority="381">
      <formula>$AM$70=2</formula>
    </cfRule>
  </conditionalFormatting>
  <conditionalFormatting sqref="I72:I78 S72:S78">
    <cfRule type="cellIs" priority="179" stopIfTrue="1" operator="greaterThan">
      <formula>0</formula>
    </cfRule>
  </conditionalFormatting>
  <conditionalFormatting sqref="I73 S73">
    <cfRule type="expression" dxfId="252" priority="191">
      <formula>$AL$73=2</formula>
    </cfRule>
  </conditionalFormatting>
  <conditionalFormatting sqref="I74 S74">
    <cfRule type="expression" dxfId="251" priority="189">
      <formula>$AL$74=2</formula>
    </cfRule>
  </conditionalFormatting>
  <conditionalFormatting sqref="I75 S75">
    <cfRule type="expression" dxfId="250" priority="186">
      <formula>$AL$75=2</formula>
    </cfRule>
  </conditionalFormatting>
  <conditionalFormatting sqref="I76 S76">
    <cfRule type="expression" dxfId="249" priority="184">
      <formula>$AL$76=2</formula>
    </cfRule>
  </conditionalFormatting>
  <conditionalFormatting sqref="I77 S77">
    <cfRule type="expression" dxfId="248" priority="182">
      <formula>$AL$77=2</formula>
    </cfRule>
  </conditionalFormatting>
  <conditionalFormatting sqref="I78 S78">
    <cfRule type="expression" dxfId="247" priority="180">
      <formula>$AL$78=2</formula>
    </cfRule>
  </conditionalFormatting>
  <conditionalFormatting sqref="J18">
    <cfRule type="expression" dxfId="246" priority="316">
      <formula>ISBLANK(J18)</formula>
    </cfRule>
  </conditionalFormatting>
  <conditionalFormatting sqref="J20:J24">
    <cfRule type="expression" dxfId="245" priority="314">
      <formula>ISBLANK(J20)</formula>
    </cfRule>
  </conditionalFormatting>
  <conditionalFormatting sqref="J25">
    <cfRule type="cellIs" dxfId="244" priority="155" operator="equal">
      <formula>0</formula>
    </cfRule>
  </conditionalFormatting>
  <conditionalFormatting sqref="K53 N53">
    <cfRule type="expression" dxfId="243" priority="105">
      <formula>$AL53=1</formula>
    </cfRule>
    <cfRule type="expression" priority="104">
      <formula>$AL53=2</formula>
    </cfRule>
  </conditionalFormatting>
  <conditionalFormatting sqref="K53">
    <cfRule type="expression" dxfId="242" priority="101">
      <formula>$AM$53=2</formula>
    </cfRule>
  </conditionalFormatting>
  <conditionalFormatting sqref="L29">
    <cfRule type="cellIs" priority="177" operator="greaterThan">
      <formula>0</formula>
    </cfRule>
    <cfRule type="expression" dxfId="241" priority="178">
      <formula>ISBLANK($L$29)</formula>
    </cfRule>
  </conditionalFormatting>
  <conditionalFormatting sqref="L30:L38">
    <cfRule type="cellIs" dxfId="240" priority="339" stopIfTrue="1" operator="greaterThan">
      <formula>0</formula>
    </cfRule>
    <cfRule type="expression" dxfId="239" priority="340">
      <formula>$L$28=2</formula>
    </cfRule>
  </conditionalFormatting>
  <conditionalFormatting sqref="L42">
    <cfRule type="cellIs" priority="337" operator="greaterThan">
      <formula>0</formula>
    </cfRule>
    <cfRule type="expression" dxfId="238" priority="338">
      <formula>ISBLANK($L$42)</formula>
    </cfRule>
  </conditionalFormatting>
  <conditionalFormatting sqref="L43:L51">
    <cfRule type="expression" dxfId="237" priority="350">
      <formula>$L$41=2</formula>
    </cfRule>
    <cfRule type="cellIs" dxfId="236" priority="349" operator="greaterThan">
      <formula>0</formula>
    </cfRule>
  </conditionalFormatting>
  <conditionalFormatting sqref="L180">
    <cfRule type="expression" dxfId="235" priority="16">
      <formula>$AM180=2</formula>
    </cfRule>
  </conditionalFormatting>
  <conditionalFormatting sqref="L180:T180">
    <cfRule type="cellIs" priority="13" stopIfTrue="1" operator="greaterThan">
      <formula>0</formula>
    </cfRule>
  </conditionalFormatting>
  <conditionalFormatting sqref="M88">
    <cfRule type="expression" priority="1248" stopIfTrue="1">
      <formula>$AO$88=2</formula>
    </cfRule>
  </conditionalFormatting>
  <conditionalFormatting sqref="M107:O112">
    <cfRule type="expression" dxfId="234" priority="148">
      <formula>ISBLANK(M107)</formula>
    </cfRule>
  </conditionalFormatting>
  <conditionalFormatting sqref="O84:R84 W84:Z84">
    <cfRule type="cellIs" dxfId="233" priority="144" operator="equal">
      <formula>0</formula>
    </cfRule>
  </conditionalFormatting>
  <conditionalFormatting sqref="P27 S27 V27 Y27">
    <cfRule type="expression" dxfId="232" priority="115">
      <formula>$AL27=1</formula>
    </cfRule>
    <cfRule type="expression" priority="114" stopIfTrue="1">
      <formula>$AL27=2</formula>
    </cfRule>
  </conditionalFormatting>
  <conditionalFormatting sqref="P30:P38">
    <cfRule type="expression" dxfId="231" priority="342">
      <formula>$P$28=2</formula>
    </cfRule>
    <cfRule type="cellIs" dxfId="230" priority="341" operator="greaterThan">
      <formula>0</formula>
    </cfRule>
  </conditionalFormatting>
  <conditionalFormatting sqref="P40 S40 V40 Y40">
    <cfRule type="expression" dxfId="229" priority="113">
      <formula>$AL40=1</formula>
    </cfRule>
    <cfRule type="expression" priority="112" stopIfTrue="1">
      <formula>$AL40=2</formula>
    </cfRule>
  </conditionalFormatting>
  <conditionalFormatting sqref="P43:P51">
    <cfRule type="cellIs" dxfId="228" priority="351" operator="greaterThan">
      <formula>0</formula>
    </cfRule>
    <cfRule type="expression" dxfId="227" priority="352">
      <formula>$P$41=2</formula>
    </cfRule>
  </conditionalFormatting>
  <conditionalFormatting sqref="P138">
    <cfRule type="expression" dxfId="226" priority="135">
      <formula>ISBLANK(P138)</formula>
    </cfRule>
  </conditionalFormatting>
  <conditionalFormatting sqref="S98">
    <cfRule type="cellIs" dxfId="225" priority="362" operator="lessThan">
      <formula>$H98</formula>
    </cfRule>
    <cfRule type="expression" dxfId="224" priority="143">
      <formula>ISBLANK(S98)</formula>
    </cfRule>
  </conditionalFormatting>
  <conditionalFormatting sqref="S98:U98">
    <cfRule type="expression" dxfId="223" priority="363">
      <formula>$AN$98=2</formula>
    </cfRule>
  </conditionalFormatting>
  <conditionalFormatting sqref="T30:T38">
    <cfRule type="cellIs" dxfId="222" priority="343" operator="greaterThan">
      <formula>0</formula>
    </cfRule>
    <cfRule type="expression" dxfId="221" priority="344">
      <formula>$T$28=2</formula>
    </cfRule>
  </conditionalFormatting>
  <conditionalFormatting sqref="T43:T51">
    <cfRule type="expression" dxfId="220" priority="354">
      <formula>$T$41=2</formula>
    </cfRule>
    <cfRule type="cellIs" dxfId="219" priority="353" operator="greaterThan">
      <formula>0</formula>
    </cfRule>
  </conditionalFormatting>
  <conditionalFormatting sqref="W53 Z53">
    <cfRule type="expression" dxfId="218" priority="103">
      <formula>$AN$53=1</formula>
    </cfRule>
    <cfRule type="expression" priority="102">
      <formula>$AN$53=2</formula>
    </cfRule>
  </conditionalFormatting>
  <conditionalFormatting sqref="W53">
    <cfRule type="expression" dxfId="217" priority="100">
      <formula>$AO$53=2</formula>
    </cfRule>
  </conditionalFormatting>
  <conditionalFormatting sqref="W21:Z21">
    <cfRule type="expression" priority="153" stopIfTrue="1">
      <formula>$AL$21=1</formula>
    </cfRule>
    <cfRule type="cellIs" dxfId="216" priority="154" operator="equal">
      <formula>0</formula>
    </cfRule>
  </conditionalFormatting>
  <conditionalFormatting sqref="W24:Z25">
    <cfRule type="cellIs" dxfId="215" priority="159" operator="equal">
      <formula>0</formula>
    </cfRule>
    <cfRule type="expression" priority="158" stopIfTrue="1">
      <formula>$AL$21=1</formula>
    </cfRule>
  </conditionalFormatting>
  <conditionalFormatting sqref="X30:X38">
    <cfRule type="cellIs" dxfId="214" priority="345" operator="greaterThan">
      <formula>0</formula>
    </cfRule>
    <cfRule type="expression" dxfId="213" priority="346">
      <formula>$X$28=2</formula>
    </cfRule>
  </conditionalFormatting>
  <conditionalFormatting sqref="X43:X51">
    <cfRule type="cellIs" dxfId="212" priority="355" operator="greaterThan">
      <formula>0</formula>
    </cfRule>
    <cfRule type="expression" dxfId="211" priority="356">
      <formula>$X$41=2</formula>
    </cfRule>
  </conditionalFormatting>
  <conditionalFormatting sqref="X67">
    <cfRule type="expression" dxfId="210" priority="132">
      <formula>$AL$67=2</formula>
    </cfRule>
    <cfRule type="cellIs" dxfId="209" priority="131" operator="greaterThan">
      <formula>0</formula>
    </cfRule>
  </conditionalFormatting>
  <conditionalFormatting sqref="X88 AD88">
    <cfRule type="expression" dxfId="208" priority="232">
      <formula>$AM$88=2</formula>
    </cfRule>
  </conditionalFormatting>
  <conditionalFormatting sqref="X88:X89 AD88:AD89">
    <cfRule type="cellIs" priority="229" stopIfTrue="1" operator="greaterThan">
      <formula>0</formula>
    </cfRule>
  </conditionalFormatting>
  <conditionalFormatting sqref="X89 AD89">
    <cfRule type="expression" dxfId="207" priority="230">
      <formula>$AM$89=2</formula>
    </cfRule>
  </conditionalFormatting>
  <conditionalFormatting sqref="X90 AD90">
    <cfRule type="expression" dxfId="206" priority="228">
      <formula>$AM$90=2</formula>
    </cfRule>
    <cfRule type="cellIs" priority="227" stopIfTrue="1" operator="greaterThan">
      <formula>1</formula>
    </cfRule>
  </conditionalFormatting>
  <conditionalFormatting sqref="X91 AD91">
    <cfRule type="expression" dxfId="205" priority="226">
      <formula>$AM$91=2</formula>
    </cfRule>
  </conditionalFormatting>
  <conditionalFormatting sqref="X91:X96 AD91:AD96">
    <cfRule type="cellIs" priority="215" stopIfTrue="1" operator="greaterThan">
      <formula>0</formula>
    </cfRule>
  </conditionalFormatting>
  <conditionalFormatting sqref="X92 AD92">
    <cfRule type="expression" dxfId="204" priority="224">
      <formula>$AM$92=2</formula>
    </cfRule>
  </conditionalFormatting>
  <conditionalFormatting sqref="X93 AD93">
    <cfRule type="expression" dxfId="203" priority="222">
      <formula>$AM$93=2</formula>
    </cfRule>
  </conditionalFormatting>
  <conditionalFormatting sqref="X94 AD94">
    <cfRule type="expression" dxfId="202" priority="220">
      <formula>$AM$94=2</formula>
    </cfRule>
  </conditionalFormatting>
  <conditionalFormatting sqref="X95 AD95">
    <cfRule type="expression" dxfId="201" priority="218">
      <formula>$AM$95=2</formula>
    </cfRule>
  </conditionalFormatting>
  <conditionalFormatting sqref="X96 AD96">
    <cfRule type="expression" dxfId="200" priority="216">
      <formula>$AM$96=2</formula>
    </cfRule>
  </conditionalFormatting>
  <conditionalFormatting sqref="X97 AD97">
    <cfRule type="cellIs" priority="213" stopIfTrue="1" operator="notEqual">
      <formula>0</formula>
    </cfRule>
    <cfRule type="expression" dxfId="199" priority="214">
      <formula>$AM$97=2</formula>
    </cfRule>
  </conditionalFormatting>
  <conditionalFormatting sqref="X138">
    <cfRule type="expression" dxfId="198" priority="136">
      <formula>ISBLANK(X138)</formula>
    </cfRule>
  </conditionalFormatting>
  <conditionalFormatting sqref="Y112">
    <cfRule type="expression" dxfId="197" priority="501">
      <formula>$AL$112&lt;1</formula>
    </cfRule>
  </conditionalFormatting>
  <conditionalFormatting sqref="Y107:AA110">
    <cfRule type="cellIs" dxfId="196" priority="116" operator="greaterThan">
      <formula>$W$82</formula>
    </cfRule>
  </conditionalFormatting>
  <conditionalFormatting sqref="Y111:AA111">
    <cfRule type="expression" dxfId="195" priority="39">
      <formula>$AL$111&lt;1</formula>
    </cfRule>
  </conditionalFormatting>
  <conditionalFormatting sqref="AA19">
    <cfRule type="expression" dxfId="194" priority="315">
      <formula>ISBLANK(AA19)</formula>
    </cfRule>
  </conditionalFormatting>
  <conditionalFormatting sqref="AB30:AB38">
    <cfRule type="cellIs" dxfId="193" priority="347" operator="greaterThan">
      <formula>0</formula>
    </cfRule>
    <cfRule type="expression" dxfId="192" priority="348">
      <formula>$AB$28=2</formula>
    </cfRule>
  </conditionalFormatting>
  <conditionalFormatting sqref="AB43:AB51">
    <cfRule type="cellIs" dxfId="191" priority="357" operator="greaterThan">
      <formula>0</formula>
    </cfRule>
    <cfRule type="expression" dxfId="190" priority="358">
      <formula>$AB$41=2</formula>
    </cfRule>
  </conditionalFormatting>
  <conditionalFormatting sqref="AC67">
    <cfRule type="expression" dxfId="189" priority="130">
      <formula>$AL$67=2</formula>
    </cfRule>
    <cfRule type="cellIs" dxfId="188" priority="129" operator="greaterThan">
      <formula>0</formula>
    </cfRule>
  </conditionalFormatting>
  <conditionalFormatting sqref="AC107:AC112">
    <cfRule type="cellIs" dxfId="187" priority="730" operator="greaterThan">
      <formula>$AM$113</formula>
    </cfRule>
  </conditionalFormatting>
  <conditionalFormatting sqref="AD98 Q107:Q112 U107:U112 Y107:Y112 AC107:AC112">
    <cfRule type="expression" dxfId="186" priority="38" stopIfTrue="1">
      <formula>ISBLANK(Q98)</formula>
    </cfRule>
  </conditionalFormatting>
  <conditionalFormatting sqref="AD142">
    <cfRule type="expression" dxfId="185" priority="305">
      <formula>ISBLANK(AD142)</formula>
    </cfRule>
  </conditionalFormatting>
  <conditionalFormatting sqref="AD98:AG98">
    <cfRule type="expression" dxfId="184" priority="300">
      <formula>$AO$98=2</formula>
    </cfRule>
  </conditionalFormatting>
  <conditionalFormatting sqref="AE13:AJ14">
    <cfRule type="expression" dxfId="183" priority="151">
      <formula>ISBLANK(AE13)</formula>
    </cfRule>
  </conditionalFormatting>
  <conditionalFormatting sqref="AE56:AJ57">
    <cfRule type="cellIs" dxfId="182" priority="140" operator="equal">
      <formula>0</formula>
    </cfRule>
  </conditionalFormatting>
  <conditionalFormatting sqref="AE103:AJ104">
    <cfRule type="cellIs" dxfId="181" priority="139" operator="equal">
      <formula>0</formula>
    </cfRule>
  </conditionalFormatting>
  <conditionalFormatting sqref="AE146:AJ147">
    <cfRule type="cellIs" dxfId="180" priority="138" operator="equal">
      <formula>0</formula>
    </cfRule>
  </conditionalFormatting>
  <conditionalFormatting sqref="AF59 AI59">
    <cfRule type="expression" dxfId="179" priority="382">
      <formula>$AL$59=1</formula>
    </cfRule>
  </conditionalFormatting>
  <conditionalFormatting sqref="AF80 AI80">
    <cfRule type="expression" dxfId="178" priority="211">
      <formula>$AL$80=1</formula>
    </cfRule>
  </conditionalFormatting>
  <conditionalFormatting sqref="AF162 AI162">
    <cfRule type="expression" dxfId="177" priority="8">
      <formula>$AM162=2</formula>
    </cfRule>
    <cfRule type="expression" dxfId="176" priority="5">
      <formula>$AQ162=4</formula>
    </cfRule>
  </conditionalFormatting>
  <conditionalFormatting sqref="AF164 AI164 AF166 AI166 AF168 AI168 AF170 AI170 AF172 AI172 AF174 AI174 AF176 AI176 AF178 AI178 AF180 AI180">
    <cfRule type="expression" dxfId="175" priority="1">
      <formula>$AQ164=4</formula>
    </cfRule>
    <cfRule type="expression" dxfId="174" priority="4">
      <formula>$AM164=2</formula>
    </cfRule>
  </conditionalFormatting>
  <conditionalFormatting sqref="AF33:AH38 AF46:AH51">
    <cfRule type="expression" dxfId="173" priority="152">
      <formula>ISBLANK(AF33)</formula>
    </cfRule>
  </conditionalFormatting>
  <conditionalFormatting sqref="AF34:AH38">
    <cfRule type="cellIs" dxfId="172" priority="146" operator="equal">
      <formula>0</formula>
    </cfRule>
  </conditionalFormatting>
  <conditionalFormatting sqref="AF47:AH51">
    <cfRule type="cellIs" dxfId="171" priority="145" operator="equal">
      <formula>0</formula>
    </cfRule>
  </conditionalFormatting>
  <conditionalFormatting sqref="AG107:AG112">
    <cfRule type="expression" dxfId="170" priority="31">
      <formula>ISBLANK(AG107)</formula>
    </cfRule>
    <cfRule type="expression" dxfId="169" priority="117" stopIfTrue="1">
      <formula>$AN107=1</formula>
    </cfRule>
  </conditionalFormatting>
  <conditionalFormatting sqref="AG107:AI112">
    <cfRule type="expression" dxfId="168" priority="369">
      <formula>$AP107=1</formula>
    </cfRule>
    <cfRule type="expression" dxfId="167" priority="209">
      <formula>$AO107=1</formula>
    </cfRule>
  </conditionalFormatting>
  <conditionalFormatting sqref="AI162 AF162">
    <cfRule type="expression" priority="7" stopIfTrue="1">
      <formula>$AQ162=3</formula>
    </cfRule>
  </conditionalFormatting>
  <conditionalFormatting sqref="AI162">
    <cfRule type="expression" dxfId="166" priority="6">
      <formula>$AP162=2</formula>
    </cfRule>
  </conditionalFormatting>
  <conditionalFormatting sqref="AI164 AI166 AI168 AI170 AI172 AI174 AI176 AI178 AI180 AF164 AF166 AF168 AF170 AF172 AF174 AF176 AF178 AF180">
    <cfRule type="expression" priority="3" stopIfTrue="1">
      <formula>$AQ164=3</formula>
    </cfRule>
  </conditionalFormatting>
  <conditionalFormatting sqref="AI164 AI166 AI168 AI170 AI172 AI174 AI176 AI178 AI180">
    <cfRule type="expression" dxfId="165" priority="2">
      <formula>$AP164=2</formula>
    </cfRule>
  </conditionalFormatting>
  <dataValidations disablePrompts="1" count="2">
    <dataValidation type="list" allowBlank="1" showInputMessage="1" showErrorMessage="1" sqref="O81:Q81 N59:Q59 E67:G68 E72:G78" xr:uid="{DA2C8436-B703-4142-BC5C-9FC31B81A6C7}">
      <formula1>Shape</formula1>
    </dataValidation>
    <dataValidation type="list" allowBlank="1" showInputMessage="1" showErrorMessage="1" sqref="E59:H59 F81:I81" xr:uid="{F9FCB241-036B-4D7D-BBE2-FAC3AE116326}">
      <formula1>Material</formula1>
    </dataValidation>
  </dataValidations>
  <pageMargins left="0.2" right="0.2" top="0.5" bottom="0.25" header="0.3" footer="0.3"/>
  <pageSetup fitToWidth="0" orientation="portrait" r:id="rId1"/>
  <rowBreaks count="3" manualBreakCount="3">
    <brk id="55" max="16383" man="1"/>
    <brk id="102" max="16383" man="1"/>
    <brk id="145" max="16383" man="1"/>
  </rowBreaks>
  <colBreaks count="1" manualBreakCount="1">
    <brk id="43" max="1048575" man="1"/>
  </colBreaks>
  <ignoredErrors>
    <ignoredError sqref="L73" formula="1"/>
  </ignoredErrors>
  <drawing r:id="rId2"/>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998F1E98-0479-4245-8F54-19F93D4CF78E}">
          <x14:formula1>
            <xm:f>Tables!$C$2:$C$7</xm:f>
          </x14:formula1>
          <xm:sqref>F69:I69</xm:sqref>
        </x14:dataValidation>
        <x14:dataValidation type="list" allowBlank="1" showInputMessage="1" showErrorMessage="1" xr:uid="{5A32B99B-E12D-45B5-BEED-B8F99C498171}">
          <x14:formula1>
            <xm:f>Tables!$E$2:$E$5</xm:f>
          </x14:formula1>
          <xm:sqref>B72</xm:sqref>
        </x14:dataValidation>
        <x14:dataValidation type="list" allowBlank="1" showInputMessage="1" showErrorMessage="1" xr:uid="{0A75D05C-E913-4A6F-B739-B4602DDB4488}">
          <x14:formula1>
            <xm:f>Tables!$E$2:$E$4</xm:f>
          </x14:formula1>
          <xm:sqref>B73:B78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EA75-F88D-4815-BED0-EB790744F719}">
  <sheetPr codeName="Sheet6">
    <tabColor theme="7" tint="0.39997558519241921"/>
  </sheetPr>
  <dimension ref="A1:CN117"/>
  <sheetViews>
    <sheetView showGridLines="0" showRowColHeaders="0" showZeros="0" zoomScale="150" zoomScaleNormal="150" workbookViewId="0">
      <selection activeCell="E14" sqref="E14:Y14"/>
    </sheetView>
  </sheetViews>
  <sheetFormatPr defaultColWidth="0" defaultRowHeight="0" customHeight="1" zeroHeight="1" x14ac:dyDescent="0.3"/>
  <cols>
    <col min="1" max="1" width="1.77734375" style="4" customWidth="1"/>
    <col min="2" max="36" width="2.77734375" style="4" customWidth="1"/>
    <col min="37" max="37" width="1.77734375" style="4" customWidth="1"/>
    <col min="38" max="38" width="2.77734375" style="4" customWidth="1"/>
    <col min="39" max="43" width="5.77734375" style="101" hidden="1" customWidth="1"/>
    <col min="44" max="79" width="2.77734375" style="4" customWidth="1"/>
    <col min="80" max="92" width="2.77734375" style="4" hidden="1" customWidth="1"/>
    <col min="93" max="16384" width="8.88671875" style="4" hidden="1"/>
  </cols>
  <sheetData>
    <row r="1" spans="1:88" ht="15" customHeight="1" x14ac:dyDescent="0.3">
      <c r="G1" s="5"/>
      <c r="H1" s="5"/>
      <c r="I1" s="5"/>
      <c r="J1" s="5"/>
      <c r="K1" s="5"/>
      <c r="L1" s="5"/>
      <c r="M1" s="5"/>
      <c r="N1" s="201" t="s">
        <v>356</v>
      </c>
      <c r="O1" s="201"/>
      <c r="P1" s="201"/>
      <c r="Q1" s="201"/>
      <c r="R1" s="201"/>
      <c r="S1" s="201"/>
      <c r="T1" s="201"/>
      <c r="U1" s="201"/>
      <c r="V1" s="201"/>
      <c r="W1" s="201"/>
      <c r="X1" s="201"/>
      <c r="Y1" s="201"/>
      <c r="Z1" s="201"/>
      <c r="AA1" s="201"/>
      <c r="AB1" s="201"/>
      <c r="AC1" s="201"/>
      <c r="AD1" s="201"/>
      <c r="AE1" s="201"/>
      <c r="AF1" s="201"/>
      <c r="AG1" s="201"/>
      <c r="AH1" s="201"/>
      <c r="AI1" s="201"/>
      <c r="AJ1" s="201"/>
      <c r="AK1" s="201"/>
      <c r="BD1" s="201" t="str">
        <f>N1</f>
        <v>Form 2A.2 - Detention Pond
Design Attachment Form</v>
      </c>
      <c r="BE1" s="201"/>
      <c r="BF1" s="201"/>
      <c r="BG1" s="201"/>
      <c r="BH1" s="201"/>
      <c r="BI1" s="201"/>
      <c r="BJ1" s="201"/>
      <c r="BK1" s="201"/>
      <c r="BL1" s="201"/>
      <c r="BM1" s="201"/>
      <c r="BN1" s="201"/>
      <c r="BO1" s="201"/>
      <c r="BP1" s="201"/>
      <c r="BQ1" s="201"/>
      <c r="BR1" s="201"/>
      <c r="BS1" s="201"/>
      <c r="BT1" s="201"/>
      <c r="BU1" s="201"/>
      <c r="BV1" s="201"/>
      <c r="BW1" s="201"/>
      <c r="BX1" s="201"/>
      <c r="BY1" s="201"/>
      <c r="BZ1" s="201"/>
    </row>
    <row r="2" spans="1:88" ht="15" customHeight="1" x14ac:dyDescent="0.3">
      <c r="E2" s="5"/>
      <c r="F2" s="5"/>
      <c r="G2" s="5"/>
      <c r="H2" s="5"/>
      <c r="I2" s="5"/>
      <c r="J2" s="5"/>
      <c r="K2" s="5"/>
      <c r="L2" s="5"/>
      <c r="M2" s="5"/>
      <c r="N2" s="201"/>
      <c r="O2" s="201"/>
      <c r="P2" s="201"/>
      <c r="Q2" s="201"/>
      <c r="R2" s="201"/>
      <c r="S2" s="201"/>
      <c r="T2" s="201"/>
      <c r="U2" s="201"/>
      <c r="V2" s="201"/>
      <c r="W2" s="201"/>
      <c r="X2" s="201"/>
      <c r="Y2" s="201"/>
      <c r="Z2" s="201"/>
      <c r="AA2" s="201"/>
      <c r="AB2" s="201"/>
      <c r="AC2" s="201"/>
      <c r="AD2" s="201"/>
      <c r="AE2" s="201"/>
      <c r="AF2" s="201"/>
      <c r="AG2" s="201"/>
      <c r="AH2" s="201"/>
      <c r="AI2" s="201"/>
      <c r="AJ2" s="201"/>
      <c r="AK2" s="201"/>
      <c r="BD2" s="201"/>
      <c r="BE2" s="201"/>
      <c r="BF2" s="201"/>
      <c r="BG2" s="201"/>
      <c r="BH2" s="201"/>
      <c r="BI2" s="201"/>
      <c r="BJ2" s="201"/>
      <c r="BK2" s="201"/>
      <c r="BL2" s="201"/>
      <c r="BM2" s="201"/>
      <c r="BN2" s="201"/>
      <c r="BO2" s="201"/>
      <c r="BP2" s="201"/>
      <c r="BQ2" s="201"/>
      <c r="BR2" s="201"/>
      <c r="BS2" s="201"/>
      <c r="BT2" s="201"/>
      <c r="BU2" s="201"/>
      <c r="BV2" s="201"/>
      <c r="BW2" s="201"/>
      <c r="BX2" s="201"/>
      <c r="BY2" s="201"/>
      <c r="BZ2" s="201"/>
    </row>
    <row r="3" spans="1:88" ht="15" customHeight="1" x14ac:dyDescent="0.3">
      <c r="E3" s="5"/>
      <c r="F3" s="5"/>
      <c r="G3" s="5"/>
      <c r="H3" s="5"/>
      <c r="I3" s="5"/>
      <c r="J3" s="5"/>
      <c r="K3" s="5"/>
      <c r="L3" s="5"/>
      <c r="M3" s="5"/>
      <c r="N3" s="201"/>
      <c r="O3" s="201"/>
      <c r="P3" s="201"/>
      <c r="Q3" s="201"/>
      <c r="R3" s="201"/>
      <c r="S3" s="201"/>
      <c r="T3" s="201"/>
      <c r="U3" s="201"/>
      <c r="V3" s="201"/>
      <c r="W3" s="201"/>
      <c r="X3" s="201"/>
      <c r="Y3" s="201"/>
      <c r="Z3" s="201"/>
      <c r="AA3" s="201"/>
      <c r="AB3" s="201"/>
      <c r="AC3" s="201"/>
      <c r="AD3" s="201"/>
      <c r="AE3" s="201"/>
      <c r="AF3" s="201"/>
      <c r="AG3" s="201"/>
      <c r="AH3" s="201"/>
      <c r="AI3" s="201"/>
      <c r="AJ3" s="201"/>
      <c r="AK3" s="201"/>
      <c r="BD3" s="201"/>
      <c r="BE3" s="201"/>
      <c r="BF3" s="201"/>
      <c r="BG3" s="201"/>
      <c r="BH3" s="201"/>
      <c r="BI3" s="201"/>
      <c r="BJ3" s="201"/>
      <c r="BK3" s="201"/>
      <c r="BL3" s="201"/>
      <c r="BM3" s="201"/>
      <c r="BN3" s="201"/>
      <c r="BO3" s="201"/>
      <c r="BP3" s="201"/>
      <c r="BQ3" s="201"/>
      <c r="BR3" s="201"/>
      <c r="BS3" s="201"/>
      <c r="BT3" s="201"/>
      <c r="BU3" s="201"/>
      <c r="BV3" s="201"/>
      <c r="BW3" s="201"/>
      <c r="BX3" s="201"/>
      <c r="BY3" s="201"/>
      <c r="BZ3" s="201"/>
    </row>
    <row r="4" spans="1:88" ht="15" customHeight="1" x14ac:dyDescent="0.3">
      <c r="E4" s="5"/>
      <c r="F4" s="5"/>
      <c r="G4" s="5"/>
      <c r="H4" s="5"/>
      <c r="I4" s="5"/>
      <c r="J4" s="5"/>
      <c r="K4" s="5"/>
      <c r="L4" s="5"/>
      <c r="M4" s="5"/>
      <c r="N4" s="201"/>
      <c r="O4" s="201"/>
      <c r="P4" s="201"/>
      <c r="Q4" s="201"/>
      <c r="R4" s="201"/>
      <c r="S4" s="201"/>
      <c r="T4" s="201"/>
      <c r="U4" s="201"/>
      <c r="V4" s="201"/>
      <c r="W4" s="201"/>
      <c r="X4" s="201"/>
      <c r="Y4" s="201"/>
      <c r="Z4" s="201"/>
      <c r="AA4" s="201"/>
      <c r="AB4" s="201"/>
      <c r="AC4" s="201"/>
      <c r="AD4" s="201"/>
      <c r="AE4" s="201"/>
      <c r="AF4" s="201"/>
      <c r="AG4" s="201"/>
      <c r="AH4" s="201"/>
      <c r="AI4" s="201"/>
      <c r="AJ4" s="201"/>
      <c r="AK4" s="201"/>
      <c r="BD4" s="201"/>
      <c r="BE4" s="201"/>
      <c r="BF4" s="201"/>
      <c r="BG4" s="201"/>
      <c r="BH4" s="201"/>
      <c r="BI4" s="201"/>
      <c r="BJ4" s="201"/>
      <c r="BK4" s="201"/>
      <c r="BL4" s="201"/>
      <c r="BM4" s="201"/>
      <c r="BN4" s="201"/>
      <c r="BO4" s="201"/>
      <c r="BP4" s="201"/>
      <c r="BQ4" s="201"/>
      <c r="BR4" s="201"/>
      <c r="BS4" s="201"/>
      <c r="BT4" s="201"/>
      <c r="BU4" s="201"/>
      <c r="BV4" s="201"/>
      <c r="BW4" s="201"/>
      <c r="BX4" s="201"/>
      <c r="BY4" s="201"/>
      <c r="BZ4" s="201"/>
    </row>
    <row r="5" spans="1:88" ht="4.95" customHeight="1" x14ac:dyDescent="0.3">
      <c r="E5" s="5"/>
      <c r="F5" s="5"/>
      <c r="G5" s="5"/>
      <c r="H5" s="5"/>
      <c r="I5" s="5"/>
      <c r="J5" s="5"/>
      <c r="K5" s="5"/>
      <c r="L5" s="5"/>
      <c r="M5" s="5"/>
      <c r="N5" s="5"/>
      <c r="O5" s="5"/>
      <c r="P5" s="5"/>
      <c r="Q5" s="5"/>
      <c r="R5" s="5"/>
      <c r="S5" s="5"/>
      <c r="T5" s="5"/>
      <c r="U5" s="5"/>
      <c r="V5" s="5"/>
      <c r="W5" s="5"/>
      <c r="X5" s="5"/>
      <c r="Y5" s="5"/>
      <c r="Z5" s="5"/>
      <c r="AA5" s="5"/>
      <c r="AB5" s="11"/>
      <c r="AC5" s="11"/>
      <c r="AD5" s="11"/>
      <c r="AE5" s="11"/>
      <c r="AF5" s="11"/>
      <c r="AG5" s="11"/>
      <c r="AH5" s="11"/>
      <c r="AI5" s="11"/>
      <c r="AJ5" s="11"/>
    </row>
    <row r="6" spans="1:88" ht="15" customHeight="1" x14ac:dyDescent="0.3">
      <c r="A6" s="24"/>
      <c r="B6" s="25" t="s">
        <v>122</v>
      </c>
      <c r="C6" s="25"/>
      <c r="D6" s="25"/>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7"/>
      <c r="AR6" s="205" t="s">
        <v>69</v>
      </c>
      <c r="AS6" s="205"/>
      <c r="AT6" s="205"/>
      <c r="AU6" s="205"/>
      <c r="AV6" s="205"/>
      <c r="AW6" s="205"/>
      <c r="AX6" s="205"/>
      <c r="AY6" s="205"/>
      <c r="AZ6" s="205"/>
      <c r="BA6" s="205"/>
      <c r="BB6" s="205"/>
      <c r="BC6" s="205"/>
      <c r="BD6" s="205"/>
      <c r="BE6" s="205"/>
      <c r="BF6" s="205"/>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row>
    <row r="7" spans="1:88" ht="15" customHeight="1" x14ac:dyDescent="0.3">
      <c r="A7" s="28"/>
      <c r="B7" s="29" t="s">
        <v>59</v>
      </c>
      <c r="C7" s="29"/>
      <c r="D7" s="29"/>
      <c r="E7" s="220"/>
      <c r="F7" s="220"/>
      <c r="G7" s="220"/>
      <c r="H7" s="220"/>
      <c r="I7" s="220"/>
      <c r="J7" s="220"/>
      <c r="K7" s="220"/>
      <c r="L7" s="220"/>
      <c r="M7" s="220"/>
      <c r="N7" s="220"/>
      <c r="O7" s="220"/>
      <c r="P7" s="220"/>
      <c r="Q7" s="220"/>
      <c r="R7" s="220"/>
      <c r="S7" s="220"/>
      <c r="T7" s="220"/>
      <c r="U7" s="220"/>
      <c r="V7" s="220"/>
      <c r="W7" s="220"/>
      <c r="X7" s="220"/>
      <c r="Y7" s="29"/>
      <c r="Z7" s="29"/>
      <c r="AA7" s="29"/>
      <c r="AB7" s="29"/>
      <c r="AC7" s="29"/>
      <c r="AD7" s="30" t="s">
        <v>20</v>
      </c>
      <c r="AE7" s="221"/>
      <c r="AF7" s="221"/>
      <c r="AG7" s="221"/>
      <c r="AH7" s="221"/>
      <c r="AI7" s="221"/>
      <c r="AJ7" s="221"/>
      <c r="AK7" s="31"/>
      <c r="AR7" s="205"/>
      <c r="AS7" s="205"/>
      <c r="AT7" s="205"/>
      <c r="AU7" s="205"/>
      <c r="AV7" s="205"/>
      <c r="AW7" s="205"/>
      <c r="AX7" s="205"/>
      <c r="AY7" s="205"/>
      <c r="AZ7" s="205"/>
      <c r="BA7" s="205"/>
      <c r="BB7" s="205"/>
      <c r="BC7" s="205"/>
      <c r="BD7" s="205"/>
      <c r="BE7" s="205"/>
      <c r="BF7" s="205"/>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row>
    <row r="8" spans="1:88" ht="4.95" customHeight="1" x14ac:dyDescent="0.3">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30"/>
      <c r="AG8" s="54"/>
      <c r="AH8" s="54"/>
      <c r="AI8" s="54"/>
      <c r="AJ8" s="54"/>
      <c r="AK8" s="31"/>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row>
    <row r="9" spans="1:88" ht="15" customHeight="1" x14ac:dyDescent="0.3">
      <c r="A9" s="28"/>
      <c r="B9" s="29" t="s">
        <v>21</v>
      </c>
      <c r="C9" s="29"/>
      <c r="D9" s="29"/>
      <c r="E9" s="29"/>
      <c r="F9" s="29"/>
      <c r="G9" s="86"/>
      <c r="H9" s="29" t="s">
        <v>131</v>
      </c>
      <c r="I9" s="29"/>
      <c r="J9" s="29"/>
      <c r="K9" s="29"/>
      <c r="L9" s="29"/>
      <c r="M9" s="29"/>
      <c r="N9" s="86"/>
      <c r="O9" s="29" t="s">
        <v>132</v>
      </c>
      <c r="P9" s="29"/>
      <c r="Q9" s="29"/>
      <c r="R9" s="29"/>
      <c r="S9" s="29"/>
      <c r="T9" s="29"/>
      <c r="U9" s="29"/>
      <c r="V9" s="29"/>
      <c r="W9" s="86"/>
      <c r="X9" s="29" t="s">
        <v>133</v>
      </c>
      <c r="Y9" s="29"/>
      <c r="Z9" s="29"/>
      <c r="AA9" s="29"/>
      <c r="AB9" s="29"/>
      <c r="AC9" s="86"/>
      <c r="AD9" s="29" t="s">
        <v>134</v>
      </c>
      <c r="AE9" s="29"/>
      <c r="AF9" s="29"/>
      <c r="AG9" s="29"/>
      <c r="AH9" s="29"/>
      <c r="AI9" s="29"/>
      <c r="AJ9" s="29"/>
      <c r="AK9" s="31"/>
      <c r="AR9" s="62">
        <v>1</v>
      </c>
      <c r="AS9" s="90" t="s">
        <v>357</v>
      </c>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137"/>
      <c r="BV9" s="137"/>
      <c r="BW9" s="137"/>
      <c r="BX9" s="137"/>
      <c r="BY9" s="137"/>
      <c r="BZ9" s="137"/>
      <c r="CA9" s="137"/>
      <c r="CB9" s="137"/>
      <c r="CC9" s="137"/>
      <c r="CD9" s="137"/>
      <c r="CE9" s="137"/>
      <c r="CF9" s="137"/>
      <c r="CG9" s="137"/>
      <c r="CH9" s="137"/>
      <c r="CI9" s="137"/>
      <c r="CJ9" s="138"/>
    </row>
    <row r="10" spans="1:88" ht="4.95" customHeight="1" x14ac:dyDescent="0.3">
      <c r="A10" s="28"/>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31"/>
      <c r="AR10" s="92"/>
      <c r="AS10" s="92"/>
      <c r="BU10" s="48"/>
      <c r="BV10" s="48"/>
      <c r="BW10" s="48"/>
      <c r="BX10" s="48"/>
      <c r="BY10" s="48"/>
      <c r="BZ10" s="48"/>
      <c r="CA10" s="48"/>
      <c r="CB10" s="48"/>
      <c r="CC10" s="48"/>
      <c r="CD10" s="48"/>
      <c r="CE10" s="48"/>
      <c r="CF10" s="48"/>
      <c r="CG10" s="48"/>
      <c r="CH10" s="48"/>
      <c r="CI10" s="48"/>
      <c r="CJ10" s="48"/>
    </row>
    <row r="11" spans="1:88" ht="15" customHeight="1" x14ac:dyDescent="0.3">
      <c r="A11" s="28"/>
      <c r="B11" s="29" t="s">
        <v>22</v>
      </c>
      <c r="C11" s="29"/>
      <c r="D11" s="29"/>
      <c r="E11" s="29"/>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31"/>
      <c r="AR11" s="92"/>
      <c r="AS11" s="62" t="s">
        <v>96</v>
      </c>
      <c r="AT11" s="139" t="s">
        <v>332</v>
      </c>
      <c r="CJ11" s="49"/>
    </row>
    <row r="12" spans="1:88" ht="4.95" customHeight="1" x14ac:dyDescent="0.3">
      <c r="A12" s="32"/>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4"/>
      <c r="AR12" s="137"/>
      <c r="AS12" s="17"/>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137"/>
      <c r="BV12" s="137"/>
      <c r="BW12" s="137"/>
      <c r="BX12" s="137"/>
      <c r="BY12" s="137"/>
      <c r="BZ12" s="137"/>
      <c r="CA12" s="137"/>
      <c r="CB12" s="137"/>
      <c r="CC12" s="137"/>
      <c r="CD12" s="137"/>
      <c r="CE12" s="137"/>
      <c r="CF12" s="137"/>
      <c r="CG12" s="137"/>
      <c r="CH12" s="137"/>
      <c r="CI12" s="137"/>
      <c r="CJ12" s="49"/>
    </row>
    <row r="13" spans="1:88" ht="15" customHeight="1" x14ac:dyDescent="0.3">
      <c r="B13" s="1" t="s">
        <v>171</v>
      </c>
      <c r="C13" s="1"/>
      <c r="D13" s="1"/>
      <c r="AS13" s="6" t="s">
        <v>97</v>
      </c>
      <c r="AT13" s="139" t="s">
        <v>358</v>
      </c>
      <c r="AU13" s="62"/>
      <c r="CJ13" s="137"/>
    </row>
    <row r="14" spans="1:88" ht="15" customHeight="1" x14ac:dyDescent="0.3">
      <c r="D14" s="2" t="s">
        <v>145</v>
      </c>
      <c r="E14" s="184"/>
      <c r="F14" s="184"/>
      <c r="G14" s="184"/>
      <c r="H14" s="184"/>
      <c r="I14" s="184"/>
      <c r="J14" s="184"/>
      <c r="K14" s="184"/>
      <c r="L14" s="184"/>
      <c r="M14" s="184"/>
      <c r="N14" s="184"/>
      <c r="O14" s="184"/>
      <c r="P14" s="184"/>
      <c r="Q14" s="184"/>
      <c r="R14" s="184"/>
      <c r="S14" s="184"/>
      <c r="T14" s="184"/>
      <c r="U14" s="184"/>
      <c r="V14" s="184"/>
      <c r="W14" s="184"/>
      <c r="X14" s="184"/>
      <c r="Y14" s="184"/>
      <c r="AD14" s="2" t="s">
        <v>172</v>
      </c>
      <c r="AE14" s="190"/>
      <c r="AF14" s="190"/>
      <c r="AG14" s="190"/>
      <c r="AH14" s="190"/>
      <c r="AI14" s="190"/>
      <c r="AJ14" s="190"/>
      <c r="AR14" s="62"/>
      <c r="AS14" s="6" t="s">
        <v>112</v>
      </c>
      <c r="AT14" s="4" t="s">
        <v>359</v>
      </c>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49"/>
      <c r="BV14" s="49"/>
      <c r="BW14" s="49"/>
      <c r="BX14" s="49"/>
      <c r="BY14" s="49"/>
      <c r="BZ14" s="49"/>
      <c r="CA14" s="49"/>
      <c r="CB14" s="49"/>
      <c r="CC14" s="49"/>
      <c r="CD14" s="49"/>
      <c r="CE14" s="49"/>
      <c r="CF14" s="49"/>
      <c r="CG14" s="49"/>
      <c r="CH14" s="49"/>
      <c r="CI14" s="49"/>
      <c r="CJ14" s="140"/>
    </row>
    <row r="15" spans="1:88" ht="15" customHeight="1" x14ac:dyDescent="0.3">
      <c r="D15" s="2" t="s">
        <v>146</v>
      </c>
      <c r="E15" s="185"/>
      <c r="F15" s="185"/>
      <c r="G15" s="185"/>
      <c r="H15" s="185"/>
      <c r="I15" s="185"/>
      <c r="J15" s="185"/>
      <c r="K15" s="185"/>
      <c r="L15" s="185"/>
      <c r="M15" s="185"/>
      <c r="N15" s="185"/>
      <c r="O15" s="185"/>
      <c r="P15" s="185"/>
      <c r="Q15" s="185"/>
      <c r="R15" s="185"/>
      <c r="S15" s="185"/>
      <c r="T15" s="185"/>
      <c r="U15" s="185"/>
      <c r="V15" s="185"/>
      <c r="W15" s="185"/>
      <c r="X15" s="185"/>
      <c r="Y15" s="185"/>
      <c r="AB15" s="2"/>
      <c r="AD15" s="2" t="s">
        <v>174</v>
      </c>
      <c r="AE15" s="222"/>
      <c r="AF15" s="222"/>
      <c r="AG15" s="222"/>
      <c r="AH15" s="222"/>
      <c r="AI15" s="222"/>
      <c r="AJ15" s="222"/>
      <c r="AR15" s="62"/>
      <c r="AS15" s="6" t="s">
        <v>113</v>
      </c>
      <c r="AT15" s="4" t="s">
        <v>360</v>
      </c>
      <c r="AU15" s="6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137"/>
      <c r="BV15" s="137"/>
      <c r="BW15" s="137"/>
      <c r="BX15" s="137"/>
      <c r="BY15" s="137"/>
      <c r="BZ15" s="137"/>
      <c r="CA15" s="137"/>
      <c r="CB15" s="137"/>
      <c r="CC15" s="137"/>
      <c r="CD15" s="137"/>
      <c r="CE15" s="137"/>
      <c r="CF15" s="137"/>
      <c r="CG15" s="137"/>
      <c r="CH15" s="137"/>
      <c r="CI15" s="137"/>
      <c r="CJ15" s="49"/>
    </row>
    <row r="16" spans="1:88" ht="15" customHeight="1" x14ac:dyDescent="0.3">
      <c r="C16" s="53"/>
      <c r="D16" s="2" t="s">
        <v>225</v>
      </c>
      <c r="E16" s="185"/>
      <c r="F16" s="185"/>
      <c r="G16" s="185"/>
      <c r="H16" s="185"/>
      <c r="I16" s="185"/>
      <c r="J16" s="185"/>
      <c r="K16" s="185"/>
      <c r="L16" s="73"/>
      <c r="M16" s="73"/>
      <c r="N16" s="129" t="s">
        <v>149</v>
      </c>
      <c r="O16" s="185"/>
      <c r="P16" s="185"/>
      <c r="Q16" s="185"/>
      <c r="R16" s="185"/>
      <c r="S16" s="73"/>
      <c r="T16" s="73"/>
      <c r="U16" s="73"/>
      <c r="V16" s="129" t="s">
        <v>150</v>
      </c>
      <c r="W16" s="183"/>
      <c r="X16" s="183"/>
      <c r="Y16" s="183"/>
      <c r="Z16" s="53"/>
      <c r="AA16" s="53"/>
      <c r="AC16" s="53"/>
      <c r="AD16" s="2" t="s">
        <v>175</v>
      </c>
      <c r="AE16" s="219"/>
      <c r="AF16" s="219"/>
      <c r="AG16" s="219"/>
      <c r="AH16" s="219"/>
      <c r="AI16" s="219"/>
      <c r="AJ16" s="219"/>
      <c r="AS16" s="6"/>
      <c r="AU16" s="6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137"/>
      <c r="BV16" s="137"/>
      <c r="BW16" s="137"/>
      <c r="BX16" s="137"/>
      <c r="BY16" s="137"/>
      <c r="BZ16" s="137"/>
      <c r="CA16" s="137"/>
      <c r="CB16" s="137"/>
      <c r="CC16" s="137"/>
      <c r="CD16" s="137"/>
      <c r="CE16" s="137"/>
      <c r="CF16" s="137"/>
      <c r="CG16" s="137"/>
      <c r="CH16" s="137"/>
      <c r="CI16" s="137"/>
    </row>
    <row r="17" spans="2:88" ht="15" customHeight="1" x14ac:dyDescent="0.3">
      <c r="C17" s="53"/>
      <c r="D17" s="2" t="s">
        <v>176</v>
      </c>
      <c r="E17" s="185"/>
      <c r="F17" s="185"/>
      <c r="G17" s="185"/>
      <c r="H17" s="185"/>
      <c r="I17" s="185"/>
      <c r="J17" s="185"/>
      <c r="K17" s="185"/>
      <c r="L17" s="184"/>
      <c r="M17" s="184"/>
      <c r="N17" s="184"/>
      <c r="O17" s="185"/>
      <c r="P17" s="185"/>
      <c r="Q17" s="185"/>
      <c r="R17" s="185"/>
      <c r="S17" s="184"/>
      <c r="T17" s="184"/>
      <c r="U17" s="184"/>
      <c r="V17" s="184"/>
      <c r="W17" s="185"/>
      <c r="X17" s="185"/>
      <c r="Y17" s="185"/>
      <c r="Z17" s="53"/>
      <c r="AA17" s="53"/>
      <c r="AC17" s="53"/>
      <c r="AE17" s="73"/>
      <c r="AF17" s="73"/>
      <c r="AG17" s="73"/>
      <c r="AH17" s="73"/>
      <c r="AI17" s="73"/>
      <c r="AJ17" s="73"/>
      <c r="AR17" s="151" t="s">
        <v>411</v>
      </c>
      <c r="AS17" s="139" t="s">
        <v>412</v>
      </c>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49"/>
      <c r="BV17" s="49"/>
      <c r="BW17" s="49"/>
      <c r="BX17" s="49"/>
      <c r="BY17" s="49"/>
      <c r="BZ17" s="49"/>
      <c r="CA17" s="49"/>
      <c r="CB17" s="49"/>
      <c r="CC17" s="49"/>
      <c r="CD17" s="49"/>
      <c r="CE17" s="49"/>
      <c r="CF17" s="49"/>
      <c r="CG17" s="49"/>
      <c r="CH17" s="49"/>
      <c r="CI17" s="49"/>
      <c r="CJ17" s="49"/>
    </row>
    <row r="18" spans="2:88" ht="15" customHeight="1" x14ac:dyDescent="0.3">
      <c r="C18" s="53"/>
      <c r="D18" s="2" t="s">
        <v>147</v>
      </c>
      <c r="E18" s="217"/>
      <c r="F18" s="185"/>
      <c r="G18" s="185"/>
      <c r="H18" s="185"/>
      <c r="I18" s="185"/>
      <c r="J18" s="185"/>
      <c r="K18" s="185"/>
      <c r="L18" s="185"/>
      <c r="M18" s="185"/>
      <c r="N18" s="185"/>
      <c r="O18" s="185"/>
      <c r="P18" s="185"/>
      <c r="Q18" s="185"/>
      <c r="R18" s="185"/>
      <c r="S18" s="185"/>
      <c r="T18" s="185"/>
      <c r="U18" s="185"/>
      <c r="V18" s="185"/>
      <c r="W18" s="185"/>
      <c r="X18" s="185"/>
      <c r="Y18" s="185"/>
      <c r="Z18" s="53"/>
      <c r="AA18" s="53"/>
      <c r="AC18" s="53"/>
      <c r="AD18" s="2" t="s">
        <v>151</v>
      </c>
      <c r="AE18" s="218"/>
      <c r="AF18" s="218"/>
      <c r="AG18" s="218"/>
      <c r="AH18" s="218"/>
      <c r="AI18" s="218"/>
      <c r="AJ18" s="218"/>
      <c r="AM18" s="119">
        <f>IF(AND(ISBLANK(V24),ISBLANK(Y24)),0,1)</f>
        <v>0</v>
      </c>
      <c r="AN18" s="119">
        <f>IF(ISBLANK(V24),0,1)</f>
        <v>0</v>
      </c>
      <c r="AO18" s="119">
        <f>IF(ISBLANK(Y24),0,2)</f>
        <v>0</v>
      </c>
      <c r="AP18" s="119">
        <f>IF(ISBLANK(V24),1,IF(ISBLANK(Y24),2,3))</f>
        <v>1</v>
      </c>
      <c r="AQ18" s="119">
        <f>SUM(AN18:AO18)</f>
        <v>0</v>
      </c>
      <c r="AS18" s="6"/>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49"/>
      <c r="BV18" s="49"/>
      <c r="BW18" s="49"/>
      <c r="BX18" s="49"/>
      <c r="BY18" s="49"/>
      <c r="BZ18" s="49"/>
      <c r="CA18" s="49"/>
      <c r="CB18" s="49"/>
      <c r="CC18" s="49"/>
      <c r="CD18" s="49"/>
      <c r="CE18" s="49"/>
      <c r="CF18" s="49"/>
      <c r="CG18" s="49"/>
      <c r="CH18" s="49"/>
      <c r="CI18" s="49"/>
      <c r="CJ18" s="49"/>
    </row>
    <row r="19" spans="2:88" ht="4.95" customHeight="1" x14ac:dyDescent="0.3">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49"/>
      <c r="BV19" s="49"/>
      <c r="BW19" s="49"/>
      <c r="BX19" s="49"/>
      <c r="BY19" s="49"/>
      <c r="BZ19" s="49"/>
      <c r="CA19" s="49"/>
      <c r="CB19" s="49"/>
      <c r="CC19" s="49"/>
      <c r="CD19" s="49"/>
      <c r="CE19" s="49"/>
      <c r="CF19" s="49"/>
      <c r="CG19" s="49"/>
      <c r="CH19" s="49"/>
      <c r="CI19" s="49"/>
      <c r="CJ19" s="49"/>
    </row>
    <row r="20" spans="2:88" ht="15" customHeight="1" x14ac:dyDescent="0.3">
      <c r="C20" s="2"/>
      <c r="E20" s="2" t="s">
        <v>347</v>
      </c>
      <c r="F20" s="74"/>
      <c r="G20" s="4" t="s">
        <v>343</v>
      </c>
      <c r="M20" s="141"/>
      <c r="U20" s="2" t="s">
        <v>344</v>
      </c>
      <c r="V20" s="74"/>
      <c r="W20" s="53" t="s">
        <v>345</v>
      </c>
      <c r="AG20" s="2" t="s">
        <v>352</v>
      </c>
      <c r="AH20" s="204"/>
      <c r="AI20" s="204"/>
      <c r="AM20" s="119">
        <f>IF(AND(ISBLANK(V20),ISBLANK(V22)),0,1)</f>
        <v>0</v>
      </c>
      <c r="AN20" s="119">
        <f>IF(ISBLANK(V20),0,1)</f>
        <v>0</v>
      </c>
      <c r="AO20" s="119">
        <f>IF(ISBLANK(V22),0,1)</f>
        <v>0</v>
      </c>
      <c r="AP20" s="119">
        <f>IF(ISBLANK(V20),1,IF(ISBLANK(V22),2,3))</f>
        <v>1</v>
      </c>
      <c r="AS20" s="6"/>
    </row>
    <row r="21" spans="2:88" ht="4.95" customHeight="1" x14ac:dyDescent="0.3">
      <c r="C21" s="2"/>
      <c r="D21" s="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49"/>
      <c r="BV21" s="49"/>
      <c r="BW21" s="49"/>
      <c r="BX21" s="49"/>
      <c r="BY21" s="49"/>
      <c r="BZ21" s="49"/>
      <c r="CA21" s="49"/>
      <c r="CB21" s="49"/>
      <c r="CC21" s="49"/>
      <c r="CD21" s="49"/>
      <c r="CE21" s="49"/>
      <c r="CF21" s="49"/>
      <c r="CG21" s="49"/>
      <c r="CH21" s="49"/>
      <c r="CI21" s="49"/>
      <c r="CJ21" s="49"/>
    </row>
    <row r="22" spans="2:88" ht="15" customHeight="1" x14ac:dyDescent="0.3">
      <c r="F22" s="74"/>
      <c r="G22" s="4" t="s">
        <v>351</v>
      </c>
      <c r="V22" s="74"/>
      <c r="W22" s="53" t="s">
        <v>346</v>
      </c>
      <c r="AG22" s="2" t="s">
        <v>353</v>
      </c>
      <c r="AH22" s="204"/>
      <c r="AI22" s="204"/>
      <c r="AM22" s="119">
        <f>IF(ISBLANK(V20),0,1)</f>
        <v>0</v>
      </c>
      <c r="AN22" s="119">
        <f>IF(ISBLANK(V22),0,2)</f>
        <v>0</v>
      </c>
      <c r="AO22" s="119">
        <f>SUM(AM22:AN22)</f>
        <v>0</v>
      </c>
      <c r="AS22" s="6"/>
      <c r="AT22" s="139"/>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49"/>
      <c r="BV22" s="49"/>
      <c r="BW22" s="49"/>
      <c r="BX22" s="49"/>
      <c r="BY22" s="49"/>
      <c r="BZ22" s="49"/>
      <c r="CA22" s="49"/>
      <c r="CB22" s="49"/>
      <c r="CC22" s="49"/>
      <c r="CD22" s="49"/>
      <c r="CE22" s="49"/>
      <c r="CF22" s="49"/>
      <c r="CG22" s="49"/>
      <c r="CH22" s="49"/>
      <c r="CI22" s="49"/>
      <c r="CJ22" s="49"/>
    </row>
    <row r="23" spans="2:88" ht="4.95" customHeight="1" x14ac:dyDescent="0.3">
      <c r="AE23" s="2"/>
      <c r="AF23" s="2"/>
      <c r="AG23" s="2"/>
      <c r="AH23" s="2"/>
      <c r="AI23" s="2"/>
      <c r="AK23" s="2"/>
      <c r="AL23" s="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49"/>
      <c r="BV23" s="49"/>
      <c r="BW23" s="49"/>
      <c r="BX23" s="49"/>
      <c r="BY23" s="49"/>
      <c r="BZ23" s="49"/>
      <c r="CA23" s="49"/>
      <c r="CB23" s="49"/>
      <c r="CC23" s="49"/>
      <c r="CD23" s="49"/>
      <c r="CE23" s="49"/>
      <c r="CF23" s="49"/>
      <c r="CG23" s="49"/>
      <c r="CH23" s="49"/>
      <c r="CI23" s="49"/>
      <c r="CJ23" s="49"/>
    </row>
    <row r="24" spans="2:88" ht="15" customHeight="1" x14ac:dyDescent="0.3">
      <c r="U24" s="2" t="s">
        <v>333</v>
      </c>
      <c r="V24" s="74"/>
      <c r="W24" s="53" t="s">
        <v>334</v>
      </c>
      <c r="X24" s="143"/>
      <c r="Y24" s="74"/>
      <c r="Z24" s="53" t="s">
        <v>335</v>
      </c>
      <c r="AK24" s="2"/>
      <c r="AL24" s="2"/>
      <c r="AR24" s="62"/>
      <c r="AS24" s="14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49"/>
      <c r="BV24" s="49"/>
      <c r="BW24" s="49"/>
      <c r="BX24" s="49"/>
      <c r="BY24" s="49"/>
      <c r="BZ24" s="49"/>
      <c r="CA24" s="49"/>
      <c r="CB24" s="49"/>
      <c r="CC24" s="49"/>
      <c r="CD24" s="49"/>
      <c r="CE24" s="49"/>
      <c r="CF24" s="49"/>
      <c r="CG24" s="49"/>
      <c r="CH24" s="49"/>
      <c r="CI24" s="49"/>
      <c r="CJ24" s="49"/>
    </row>
    <row r="25" spans="2:88" ht="4.95" customHeight="1" x14ac:dyDescent="0.3">
      <c r="B25" s="2"/>
      <c r="C25" s="2"/>
      <c r="D25" s="2"/>
      <c r="E25" s="2"/>
      <c r="F25" s="2"/>
      <c r="G25" s="2"/>
      <c r="AE25" s="2"/>
      <c r="AF25" s="2"/>
      <c r="AG25" s="2"/>
      <c r="AH25" s="2"/>
      <c r="AI25" s="2"/>
      <c r="AJ25" s="2"/>
      <c r="AK25" s="2"/>
      <c r="AL25" s="2"/>
      <c r="AR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49"/>
      <c r="BV25" s="49"/>
      <c r="BW25" s="49"/>
      <c r="BX25" s="49"/>
      <c r="BY25" s="49"/>
      <c r="BZ25" s="49"/>
      <c r="CA25" s="49"/>
      <c r="CB25" s="49"/>
      <c r="CC25" s="49"/>
      <c r="CD25" s="49"/>
      <c r="CE25" s="49"/>
      <c r="CF25" s="49"/>
      <c r="CG25" s="49"/>
      <c r="CH25" s="49"/>
      <c r="CI25" s="49"/>
      <c r="CJ25" s="49"/>
    </row>
    <row r="26" spans="2:88" ht="15" customHeight="1" x14ac:dyDescent="0.3">
      <c r="B26" s="74"/>
      <c r="C26" s="4" t="s">
        <v>130</v>
      </c>
      <c r="E26" s="74"/>
      <c r="F26" s="4" t="s">
        <v>129</v>
      </c>
      <c r="G26" s="2"/>
      <c r="H26" s="4" t="s">
        <v>385</v>
      </c>
      <c r="AE26" s="2"/>
      <c r="AK26" s="2"/>
      <c r="AL26" s="2"/>
      <c r="AM26" s="119">
        <f>IF(AND(ISBLANK(B26),ISBLANK(E26)),1,2)</f>
        <v>1</v>
      </c>
      <c r="AN26" s="119">
        <f>IF(ISBLANK(B26),1,2)</f>
        <v>1</v>
      </c>
      <c r="AO26" s="119">
        <f>IF(ISBLANK(B26),0,2)</f>
        <v>0</v>
      </c>
      <c r="AP26" s="119">
        <f>IF(ISBLANK(B26),1,IF(ISBLANK(E26),2,3))</f>
        <v>1</v>
      </c>
      <c r="AR26" s="62"/>
      <c r="AS26" s="62"/>
      <c r="AT26" s="139"/>
      <c r="AU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49"/>
      <c r="BV26" s="49"/>
      <c r="BW26" s="49"/>
      <c r="BX26" s="49"/>
      <c r="BY26" s="49"/>
      <c r="BZ26" s="49"/>
      <c r="CA26" s="49"/>
      <c r="CB26" s="49"/>
      <c r="CC26" s="49"/>
      <c r="CD26" s="49"/>
      <c r="CE26" s="49"/>
      <c r="CF26" s="49"/>
      <c r="CG26" s="49"/>
      <c r="CH26" s="49"/>
      <c r="CI26" s="49"/>
      <c r="CJ26" s="49"/>
    </row>
    <row r="27" spans="2:88" ht="4.95" customHeight="1" x14ac:dyDescent="0.3">
      <c r="B27" s="2"/>
      <c r="C27" s="2"/>
      <c r="D27" s="2"/>
      <c r="E27" s="2"/>
      <c r="F27" s="2"/>
      <c r="G27" s="2"/>
      <c r="AE27" s="2"/>
      <c r="AF27" s="2"/>
      <c r="AG27" s="2"/>
      <c r="AH27" s="2"/>
      <c r="AI27" s="2"/>
      <c r="AJ27" s="2"/>
      <c r="AK27" s="2"/>
      <c r="AL27" s="2"/>
      <c r="AR27" s="62"/>
      <c r="AS27" s="62"/>
      <c r="AT27" s="139"/>
      <c r="AU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49"/>
      <c r="BV27" s="49"/>
      <c r="BW27" s="49"/>
      <c r="BX27" s="49"/>
      <c r="BY27" s="49"/>
      <c r="BZ27" s="49"/>
      <c r="CA27" s="49"/>
      <c r="CB27" s="49"/>
      <c r="CC27" s="49"/>
      <c r="CD27" s="49"/>
      <c r="CE27" s="49"/>
      <c r="CF27" s="49"/>
      <c r="CG27" s="49"/>
      <c r="CH27" s="49"/>
      <c r="CI27" s="49"/>
      <c r="CJ27" s="49"/>
    </row>
    <row r="28" spans="2:88" ht="15" customHeight="1" x14ac:dyDescent="0.3">
      <c r="B28" s="74"/>
      <c r="C28" s="4" t="s">
        <v>130</v>
      </c>
      <c r="E28" s="74"/>
      <c r="F28" s="4" t="s">
        <v>129</v>
      </c>
      <c r="G28" s="2"/>
      <c r="H28" s="4" t="s">
        <v>348</v>
      </c>
      <c r="AK28" s="2"/>
      <c r="AL28" s="2"/>
      <c r="AM28" s="119">
        <f>IF(AND(ISBLANK(B28),ISBLANK(E28)),1,2)</f>
        <v>1</v>
      </c>
      <c r="AN28" s="119">
        <f>IF(ISBLANK(B28),1,2)</f>
        <v>1</v>
      </c>
      <c r="AO28" s="119">
        <f>IF(ISBLANK(B28),0,2)</f>
        <v>0</v>
      </c>
      <c r="AP28" s="119">
        <f>IF(ISBLANK(B28),1,IF(ISBLANK(E28),2,3))</f>
        <v>1</v>
      </c>
      <c r="AR28" s="49"/>
      <c r="AS28" s="62"/>
      <c r="AT28" s="139"/>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49"/>
      <c r="BV28" s="49"/>
      <c r="BW28" s="49"/>
      <c r="BX28" s="49"/>
      <c r="BY28" s="49"/>
      <c r="BZ28" s="49"/>
      <c r="CA28" s="49"/>
      <c r="CB28" s="49"/>
      <c r="CC28" s="49"/>
      <c r="CD28" s="49"/>
      <c r="CE28" s="49"/>
      <c r="CF28" s="49"/>
      <c r="CG28" s="49"/>
      <c r="CH28" s="49"/>
      <c r="CI28" s="49"/>
      <c r="CJ28" s="49"/>
    </row>
    <row r="29" spans="2:88" ht="4.95" customHeight="1" x14ac:dyDescent="0.3">
      <c r="B29" s="2"/>
      <c r="C29" s="2"/>
      <c r="D29" s="2"/>
      <c r="E29" s="2"/>
      <c r="F29" s="2"/>
      <c r="G29" s="2"/>
      <c r="AE29" s="2"/>
      <c r="AF29" s="2"/>
      <c r="AG29" s="2"/>
      <c r="AH29" s="2"/>
      <c r="AI29" s="2"/>
      <c r="AJ29" s="2"/>
      <c r="AK29" s="2"/>
      <c r="AL29" s="2"/>
      <c r="AR29" s="49"/>
      <c r="AS29" s="62"/>
      <c r="AT29" s="139"/>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49"/>
      <c r="BV29" s="49"/>
      <c r="BW29" s="49"/>
      <c r="BX29" s="49"/>
      <c r="BY29" s="49"/>
      <c r="BZ29" s="49"/>
      <c r="CA29" s="49"/>
      <c r="CB29" s="49"/>
      <c r="CC29" s="49"/>
      <c r="CD29" s="49"/>
      <c r="CE29" s="49"/>
      <c r="CF29" s="49"/>
      <c r="CG29" s="49"/>
      <c r="CH29" s="49"/>
      <c r="CI29" s="49"/>
      <c r="CJ29" s="49"/>
    </row>
    <row r="30" spans="2:88" ht="15" customHeight="1" x14ac:dyDescent="0.3">
      <c r="B30" s="74"/>
      <c r="C30" s="4" t="s">
        <v>130</v>
      </c>
      <c r="E30" s="74"/>
      <c r="F30" s="4" t="s">
        <v>129</v>
      </c>
      <c r="G30" s="2"/>
      <c r="H30" s="4" t="s">
        <v>349</v>
      </c>
      <c r="AJ30" s="2"/>
      <c r="AK30" s="2"/>
      <c r="AL30" s="2"/>
      <c r="AM30" s="119">
        <f>IF(AND(ISBLANK(B30),ISBLANK(E30)),1,2)</f>
        <v>1</v>
      </c>
      <c r="AN30" s="119">
        <f>IF(ISBLANK(B30),1,2)</f>
        <v>1</v>
      </c>
      <c r="AO30" s="119">
        <f>IF(ISBLANK(B30),0,2)</f>
        <v>0</v>
      </c>
      <c r="AP30" s="119">
        <f>IF(ISBLANK(B30),1,IF(ISBLANK(E30),2,3))</f>
        <v>1</v>
      </c>
      <c r="AR30" s="49"/>
      <c r="AS30" s="62"/>
      <c r="AT30" s="139"/>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49"/>
      <c r="BV30" s="49"/>
      <c r="BW30" s="49"/>
      <c r="BX30" s="49"/>
      <c r="BY30" s="49"/>
      <c r="BZ30" s="49"/>
      <c r="CA30" s="49"/>
      <c r="CB30" s="49"/>
      <c r="CC30" s="49"/>
      <c r="CD30" s="49"/>
      <c r="CE30" s="49"/>
      <c r="CF30" s="49"/>
      <c r="CG30" s="49"/>
      <c r="CH30" s="49"/>
      <c r="CI30" s="49"/>
      <c r="CJ30" s="49"/>
    </row>
    <row r="31" spans="2:88" ht="4.95" customHeight="1" x14ac:dyDescent="0.3">
      <c r="B31" s="2"/>
      <c r="C31" s="2"/>
      <c r="D31" s="2"/>
      <c r="E31" s="2"/>
      <c r="F31" s="2"/>
      <c r="G31" s="2"/>
      <c r="AE31" s="2"/>
      <c r="AF31" s="2"/>
      <c r="AG31" s="2"/>
      <c r="AJ31" s="2"/>
      <c r="AK31" s="2"/>
      <c r="AL31" s="2"/>
      <c r="AR31" s="49"/>
      <c r="AS31" s="62"/>
      <c r="AT31" s="139"/>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49"/>
      <c r="BV31" s="49"/>
      <c r="BW31" s="49"/>
      <c r="BX31" s="49"/>
      <c r="BY31" s="49"/>
      <c r="BZ31" s="49"/>
      <c r="CA31" s="49"/>
      <c r="CB31" s="49"/>
      <c r="CC31" s="49"/>
      <c r="CD31" s="49"/>
      <c r="CE31" s="49"/>
      <c r="CF31" s="49"/>
      <c r="CG31" s="49"/>
      <c r="CH31" s="49"/>
      <c r="CI31" s="49"/>
      <c r="CJ31" s="49"/>
    </row>
    <row r="32" spans="2:88" ht="15" customHeight="1" x14ac:dyDescent="0.3">
      <c r="B32" s="2"/>
      <c r="C32" s="2"/>
      <c r="D32" s="2"/>
      <c r="E32" s="2"/>
      <c r="F32" s="2"/>
      <c r="G32" s="2"/>
      <c r="K32" s="189" t="str">
        <f>IF($AO$22=1,"Phase",IF($AO$22=2,"Lot","Type?"))</f>
        <v>Type?</v>
      </c>
      <c r="L32" s="189"/>
      <c r="M32" s="189"/>
      <c r="R32" s="4" t="s">
        <v>409</v>
      </c>
      <c r="Y32" s="4" t="s">
        <v>410</v>
      </c>
      <c r="AE32" s="2"/>
      <c r="AF32" s="2"/>
      <c r="AG32" s="2"/>
      <c r="AJ32" s="2"/>
      <c r="AK32" s="2"/>
      <c r="AL32" s="2"/>
      <c r="AR32" s="49"/>
      <c r="AS32" s="62"/>
      <c r="AT32" s="139"/>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49"/>
      <c r="BV32" s="49"/>
      <c r="BW32" s="49"/>
      <c r="BX32" s="49"/>
      <c r="BY32" s="49"/>
      <c r="BZ32" s="49"/>
      <c r="CA32" s="49"/>
      <c r="CB32" s="49"/>
      <c r="CC32" s="49"/>
      <c r="CD32" s="49"/>
      <c r="CE32" s="49"/>
      <c r="CF32" s="49"/>
      <c r="CG32" s="49"/>
      <c r="CH32" s="49"/>
      <c r="CI32" s="49"/>
      <c r="CJ32" s="49"/>
    </row>
    <row r="33" spans="2:88" ht="15" customHeight="1" x14ac:dyDescent="0.3">
      <c r="B33" s="189" t="str">
        <f>IF($AO$22=1,"Phase",IF($AO$22=2,"Lot","Type?"))</f>
        <v>Type?</v>
      </c>
      <c r="C33" s="189"/>
      <c r="D33" s="189"/>
      <c r="F33" s="189" t="str">
        <f>IF($AO$22=1,"No. Lots",IF($AO$22=2,"Lot ID","Type?"))</f>
        <v>Type?</v>
      </c>
      <c r="G33" s="189"/>
      <c r="H33" s="189"/>
      <c r="K33" s="189" t="s">
        <v>18</v>
      </c>
      <c r="L33" s="189"/>
      <c r="M33" s="189"/>
      <c r="R33" s="189" t="s">
        <v>337</v>
      </c>
      <c r="S33" s="189"/>
      <c r="T33" s="189"/>
      <c r="Y33" s="189" t="s">
        <v>337</v>
      </c>
      <c r="Z33" s="189"/>
      <c r="AA33" s="189"/>
      <c r="AD33" s="4" t="s">
        <v>354</v>
      </c>
      <c r="AM33" s="101" t="str">
        <f>B33</f>
        <v>Type?</v>
      </c>
      <c r="AN33" s="101" t="str">
        <f>F33</f>
        <v>Type?</v>
      </c>
      <c r="AP33" s="101" t="s">
        <v>342</v>
      </c>
      <c r="AR33" s="49"/>
      <c r="AS33" s="62"/>
      <c r="AT33" s="139"/>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49"/>
      <c r="BV33" s="49"/>
      <c r="BW33" s="49"/>
      <c r="BX33" s="49"/>
      <c r="BY33" s="49"/>
      <c r="BZ33" s="49"/>
      <c r="CA33" s="49"/>
      <c r="CB33" s="49"/>
      <c r="CC33" s="49"/>
      <c r="CD33" s="49"/>
      <c r="CE33" s="49"/>
      <c r="CF33" s="49"/>
      <c r="CG33" s="49"/>
      <c r="CH33" s="49"/>
      <c r="CI33" s="49"/>
      <c r="CJ33" s="49"/>
    </row>
    <row r="34" spans="2:88" ht="15" customHeight="1" x14ac:dyDescent="0.3">
      <c r="C34" s="6">
        <v>1</v>
      </c>
      <c r="F34" s="213"/>
      <c r="G34" s="213"/>
      <c r="H34" s="213"/>
      <c r="K34" s="212"/>
      <c r="L34" s="212"/>
      <c r="M34" s="212"/>
      <c r="N34" s="211" t="str">
        <f>IF($AQ$18=0,"Units?",IF($AQ$18=1,"ac",IF($AQ$18=2,"sq-ft","Error")))</f>
        <v>Units?</v>
      </c>
      <c r="O34" s="211"/>
      <c r="R34" s="212"/>
      <c r="S34" s="212"/>
      <c r="T34" s="212"/>
      <c r="U34" s="211" t="str">
        <f>IF($AQ$18=0,"Units?",IF($AQ$18=1,"ac",IF($AQ$18=2,"sq-ft","Error")))</f>
        <v>Units?</v>
      </c>
      <c r="V34" s="211"/>
      <c r="Y34" s="212"/>
      <c r="Z34" s="212"/>
      <c r="AA34" s="212"/>
      <c r="AB34" s="211" t="str">
        <f>IF($AQ$18=0,"Units?",IF($AQ$18=1,"ac",IF($AQ$18=2,"sq-ft","Error")))</f>
        <v>Units?</v>
      </c>
      <c r="AC34" s="211"/>
      <c r="AE34" s="74"/>
      <c r="AF34" s="4" t="s">
        <v>129</v>
      </c>
      <c r="AH34" s="74"/>
      <c r="AI34" s="4" t="s">
        <v>130</v>
      </c>
      <c r="AM34" s="119">
        <f>IF(OR(C34&lt;=$AH$20,C34&lt;=$AH$22),2,1)</f>
        <v>1</v>
      </c>
      <c r="AN34" s="119">
        <f>IF(ISBLANK(F34),1,2)</f>
        <v>1</v>
      </c>
      <c r="AP34" s="119">
        <f>IF(AND(ISBLANK(AE34),ISBLANK(AH34)),0,1)</f>
        <v>0</v>
      </c>
      <c r="AQ34" s="119">
        <f>IF(ISBLANK(AE34),1,IF(ISBLANK(AH34),2,3))</f>
        <v>1</v>
      </c>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49"/>
      <c r="BV34" s="49"/>
      <c r="BW34" s="49"/>
      <c r="BX34" s="49"/>
      <c r="BY34" s="49"/>
      <c r="BZ34" s="49"/>
      <c r="CA34" s="49"/>
      <c r="CB34" s="49"/>
      <c r="CC34" s="49"/>
      <c r="CD34" s="49"/>
      <c r="CE34" s="49"/>
      <c r="CF34" s="49"/>
      <c r="CG34" s="49"/>
      <c r="CH34" s="49"/>
      <c r="CI34" s="49"/>
      <c r="CJ34" s="49"/>
    </row>
    <row r="35" spans="2:88" ht="4.95" customHeight="1" x14ac:dyDescent="0.3">
      <c r="C35" s="6"/>
      <c r="F35" s="12"/>
      <c r="G35" s="12"/>
      <c r="K35" s="144"/>
      <c r="L35" s="144"/>
      <c r="M35" s="144"/>
      <c r="N35" s="53"/>
      <c r="O35" s="53"/>
      <c r="R35" s="144"/>
      <c r="S35" s="144"/>
      <c r="T35" s="144"/>
      <c r="U35" s="53"/>
      <c r="V35" s="53"/>
      <c r="Y35" s="144"/>
      <c r="Z35" s="144"/>
      <c r="AA35" s="144"/>
      <c r="AE35" s="145"/>
      <c r="AH35" s="145"/>
      <c r="AM35" s="146"/>
      <c r="AN35" s="146"/>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49"/>
      <c r="BV35" s="49"/>
      <c r="BW35" s="49"/>
      <c r="BX35" s="49"/>
      <c r="BY35" s="49"/>
      <c r="BZ35" s="49"/>
      <c r="CA35" s="49"/>
      <c r="CB35" s="49"/>
      <c r="CC35" s="49"/>
      <c r="CD35" s="49"/>
      <c r="CE35" s="49"/>
      <c r="CF35" s="49"/>
      <c r="CG35" s="49"/>
      <c r="CH35" s="49"/>
      <c r="CI35" s="49"/>
      <c r="CJ35" s="49"/>
    </row>
    <row r="36" spans="2:88" ht="15" customHeight="1" x14ac:dyDescent="0.3">
      <c r="C36" s="6">
        <f>C34+1</f>
        <v>2</v>
      </c>
      <c r="F36" s="213"/>
      <c r="G36" s="213"/>
      <c r="H36" s="213"/>
      <c r="K36" s="212"/>
      <c r="L36" s="212"/>
      <c r="M36" s="212"/>
      <c r="N36" s="211" t="str">
        <f>IF($AQ$18=0,"Units?",IF($AQ$18=1,"ac",IF($AQ$18=2,"sq-ft","Error")))</f>
        <v>Units?</v>
      </c>
      <c r="O36" s="211"/>
      <c r="R36" s="212"/>
      <c r="S36" s="212"/>
      <c r="T36" s="212"/>
      <c r="U36" s="211" t="str">
        <f>IF($AQ$18=0,"Units?",IF($AQ$18=1,"ac",IF($AQ$18=2,"sq-ft","Error")))</f>
        <v>Units?</v>
      </c>
      <c r="V36" s="211"/>
      <c r="Y36" s="212"/>
      <c r="Z36" s="212"/>
      <c r="AA36" s="212"/>
      <c r="AB36" s="211" t="str">
        <f>IF($AQ$18=0,"Units?",IF($AQ$18=1,"ac",IF($AQ$18=2,"sq-ft","Error")))</f>
        <v>Units?</v>
      </c>
      <c r="AC36" s="211"/>
      <c r="AE36" s="74"/>
      <c r="AF36" s="4" t="s">
        <v>129</v>
      </c>
      <c r="AH36" s="74"/>
      <c r="AI36" s="4" t="s">
        <v>130</v>
      </c>
      <c r="AM36" s="119">
        <f>IF(OR(C36&lt;=$AH$20,C36&lt;=$AH$22),2,1)</f>
        <v>1</v>
      </c>
      <c r="AN36" s="147">
        <f>IF(ISBLANK(F36),1,2)</f>
        <v>1</v>
      </c>
      <c r="AP36" s="119">
        <f>IF(AND(ISBLANK(AE36),ISBLANK(AH36)),0,1)</f>
        <v>0</v>
      </c>
      <c r="AQ36" s="119">
        <f>IF(ISBLANK(AE36),1,IF(ISBLANK(AH36),2,3))</f>
        <v>1</v>
      </c>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49"/>
      <c r="BV36" s="49"/>
      <c r="BW36" s="49"/>
      <c r="BX36" s="49"/>
      <c r="BY36" s="49"/>
      <c r="BZ36" s="49"/>
      <c r="CA36" s="49"/>
      <c r="CB36" s="49"/>
      <c r="CC36" s="49"/>
      <c r="CD36" s="49"/>
      <c r="CE36" s="49"/>
      <c r="CF36" s="49"/>
      <c r="CG36" s="49"/>
      <c r="CH36" s="49"/>
      <c r="CI36" s="49"/>
      <c r="CJ36" s="49"/>
    </row>
    <row r="37" spans="2:88" ht="4.95" customHeight="1" x14ac:dyDescent="0.3">
      <c r="C37" s="6"/>
      <c r="F37" s="12"/>
      <c r="G37" s="12"/>
      <c r="K37" s="144"/>
      <c r="L37" s="144"/>
      <c r="M37" s="144"/>
      <c r="N37" s="53"/>
      <c r="O37" s="53"/>
      <c r="R37" s="144"/>
      <c r="S37" s="144"/>
      <c r="T37" s="144"/>
      <c r="U37" s="53"/>
      <c r="V37" s="53"/>
      <c r="Y37" s="144"/>
      <c r="Z37" s="144"/>
      <c r="AA37" s="144"/>
      <c r="AE37" s="145"/>
      <c r="AH37" s="145"/>
      <c r="AM37" s="146"/>
      <c r="AN37" s="146"/>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49"/>
      <c r="BV37" s="49"/>
      <c r="BW37" s="49"/>
      <c r="BX37" s="49"/>
      <c r="BY37" s="49"/>
      <c r="BZ37" s="49"/>
      <c r="CA37" s="49"/>
      <c r="CB37" s="49"/>
      <c r="CC37" s="49"/>
      <c r="CD37" s="49"/>
      <c r="CE37" s="49"/>
      <c r="CF37" s="49"/>
      <c r="CG37" s="49"/>
      <c r="CH37" s="49"/>
      <c r="CI37" s="49"/>
      <c r="CJ37" s="49"/>
    </row>
    <row r="38" spans="2:88" ht="15" customHeight="1" x14ac:dyDescent="0.3">
      <c r="C38" s="6">
        <f>C36+1</f>
        <v>3</v>
      </c>
      <c r="F38" s="213"/>
      <c r="G38" s="213"/>
      <c r="H38" s="213"/>
      <c r="K38" s="212"/>
      <c r="L38" s="212"/>
      <c r="M38" s="212"/>
      <c r="N38" s="211" t="str">
        <f>IF($AQ$18=0,"Units?",IF($AQ$18=1,"ac",IF($AQ$18=2,"sq-ft","Error")))</f>
        <v>Units?</v>
      </c>
      <c r="O38" s="211"/>
      <c r="R38" s="212"/>
      <c r="S38" s="212"/>
      <c r="T38" s="212"/>
      <c r="U38" s="211" t="str">
        <f>IF($AQ$18=0,"Units?",IF($AQ$18=1,"ac",IF($AQ$18=2,"sq-ft","Error")))</f>
        <v>Units?</v>
      </c>
      <c r="V38" s="211"/>
      <c r="Y38" s="212"/>
      <c r="Z38" s="212"/>
      <c r="AA38" s="212"/>
      <c r="AB38" s="211" t="str">
        <f>IF($AQ$18=0,"Units?",IF($AQ$18=1,"ac",IF($AQ$18=2,"sq-ft","Error")))</f>
        <v>Units?</v>
      </c>
      <c r="AC38" s="211"/>
      <c r="AE38" s="74"/>
      <c r="AF38" s="4" t="s">
        <v>129</v>
      </c>
      <c r="AH38" s="74"/>
      <c r="AI38" s="4" t="s">
        <v>130</v>
      </c>
      <c r="AM38" s="119">
        <f>IF(OR(C38&lt;=$AH$20,C38&lt;=$AH$22),2,1)</f>
        <v>1</v>
      </c>
      <c r="AN38" s="119">
        <f>IF(ISBLANK(F38),1,2)</f>
        <v>1</v>
      </c>
      <c r="AP38" s="119">
        <f>IF(AND(ISBLANK(AE38),ISBLANK(AH38)),0,1)</f>
        <v>0</v>
      </c>
      <c r="AQ38" s="119">
        <f>IF(ISBLANK(AE38),1,IF(ISBLANK(AH38),2,3))</f>
        <v>1</v>
      </c>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49"/>
      <c r="BV38" s="49"/>
      <c r="BW38" s="49"/>
      <c r="BX38" s="49"/>
      <c r="BY38" s="49"/>
      <c r="BZ38" s="49"/>
      <c r="CA38" s="49"/>
      <c r="CB38" s="49"/>
      <c r="CC38" s="49"/>
      <c r="CD38" s="49"/>
      <c r="CE38" s="49"/>
      <c r="CF38" s="49"/>
      <c r="CG38" s="49"/>
      <c r="CH38" s="49"/>
      <c r="CI38" s="49"/>
      <c r="CJ38" s="49"/>
    </row>
    <row r="39" spans="2:88" ht="4.95" customHeight="1" x14ac:dyDescent="0.3">
      <c r="C39" s="6"/>
      <c r="F39" s="12"/>
      <c r="G39" s="12"/>
      <c r="K39" s="144"/>
      <c r="L39" s="144"/>
      <c r="M39" s="144"/>
      <c r="N39" s="53"/>
      <c r="O39" s="53"/>
      <c r="R39" s="144"/>
      <c r="S39" s="144"/>
      <c r="T39" s="144"/>
      <c r="U39" s="53"/>
      <c r="V39" s="53"/>
      <c r="Y39" s="144"/>
      <c r="Z39" s="144"/>
      <c r="AA39" s="144"/>
      <c r="AE39" s="145"/>
      <c r="AH39" s="145"/>
      <c r="AM39" s="146"/>
      <c r="AN39" s="146"/>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49"/>
      <c r="BV39" s="49"/>
      <c r="BW39" s="49"/>
      <c r="BX39" s="49"/>
      <c r="BY39" s="49"/>
      <c r="BZ39" s="49"/>
      <c r="CA39" s="49"/>
      <c r="CB39" s="49"/>
      <c r="CC39" s="49"/>
      <c r="CD39" s="49"/>
      <c r="CE39" s="49"/>
      <c r="CF39" s="49"/>
      <c r="CG39" s="49"/>
      <c r="CH39" s="49"/>
      <c r="CI39" s="49"/>
      <c r="CJ39" s="49"/>
    </row>
    <row r="40" spans="2:88" ht="15" customHeight="1" x14ac:dyDescent="0.3">
      <c r="C40" s="6">
        <f>C38+1</f>
        <v>4</v>
      </c>
      <c r="F40" s="213"/>
      <c r="G40" s="213"/>
      <c r="H40" s="213"/>
      <c r="K40" s="212"/>
      <c r="L40" s="212"/>
      <c r="M40" s="212"/>
      <c r="N40" s="211" t="str">
        <f>IF($AQ$18=0,"Units?",IF($AQ$18=1,"ac",IF($AQ$18=2,"sq-ft","Error")))</f>
        <v>Units?</v>
      </c>
      <c r="O40" s="211"/>
      <c r="R40" s="212"/>
      <c r="S40" s="212"/>
      <c r="T40" s="212"/>
      <c r="U40" s="211" t="str">
        <f>IF($AQ$18=0,"Units?",IF($AQ$18=1,"ac",IF($AQ$18=2,"sq-ft","Error")))</f>
        <v>Units?</v>
      </c>
      <c r="V40" s="211"/>
      <c r="Y40" s="212"/>
      <c r="Z40" s="212"/>
      <c r="AA40" s="212"/>
      <c r="AB40" s="211" t="str">
        <f>IF($AQ$18=0,"Units?",IF($AQ$18=1,"ac",IF($AQ$18=2,"sq-ft","Error")))</f>
        <v>Units?</v>
      </c>
      <c r="AC40" s="211"/>
      <c r="AE40" s="74"/>
      <c r="AF40" s="4" t="s">
        <v>129</v>
      </c>
      <c r="AH40" s="74"/>
      <c r="AI40" s="4" t="s">
        <v>130</v>
      </c>
      <c r="AM40" s="119">
        <f>IF(OR(C40&lt;=$AH$20,C40&lt;=$AH$22),2,1)</f>
        <v>1</v>
      </c>
      <c r="AN40" s="119">
        <f>IF(ISBLANK(F40),1,2)</f>
        <v>1</v>
      </c>
      <c r="AP40" s="119">
        <f>IF(AND(ISBLANK(AE40),ISBLANK(AH40)),0,1)</f>
        <v>0</v>
      </c>
      <c r="AQ40" s="119">
        <f>IF(ISBLANK(AE40),1,IF(ISBLANK(AH40),2,3))</f>
        <v>1</v>
      </c>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49"/>
      <c r="BV40" s="49"/>
      <c r="BW40" s="49"/>
      <c r="BX40" s="49"/>
      <c r="BY40" s="49"/>
      <c r="BZ40" s="49"/>
      <c r="CA40" s="49"/>
      <c r="CB40" s="49"/>
      <c r="CC40" s="49"/>
      <c r="CD40" s="49"/>
      <c r="CE40" s="49"/>
      <c r="CF40" s="49"/>
      <c r="CG40" s="49"/>
      <c r="CH40" s="49"/>
      <c r="CI40" s="49"/>
      <c r="CJ40" s="49"/>
    </row>
    <row r="41" spans="2:88" ht="4.95" customHeight="1" x14ac:dyDescent="0.3">
      <c r="C41" s="6"/>
      <c r="F41" s="12"/>
      <c r="G41" s="12"/>
      <c r="K41" s="144"/>
      <c r="L41" s="144"/>
      <c r="M41" s="144"/>
      <c r="N41" s="53"/>
      <c r="O41" s="53"/>
      <c r="R41" s="144"/>
      <c r="S41" s="144"/>
      <c r="T41" s="144"/>
      <c r="U41" s="53"/>
      <c r="V41" s="53"/>
      <c r="Y41" s="144"/>
      <c r="Z41" s="144"/>
      <c r="AA41" s="144"/>
      <c r="AE41" s="145"/>
      <c r="AH41" s="145"/>
      <c r="AM41" s="146"/>
      <c r="AN41" s="146"/>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49"/>
      <c r="BV41" s="49"/>
      <c r="BW41" s="49"/>
      <c r="BX41" s="49"/>
      <c r="BY41" s="49"/>
      <c r="BZ41" s="49"/>
      <c r="CA41" s="49"/>
      <c r="CB41" s="49"/>
      <c r="CC41" s="49"/>
      <c r="CD41" s="49"/>
      <c r="CE41" s="49"/>
      <c r="CF41" s="49"/>
      <c r="CG41" s="49"/>
      <c r="CH41" s="49"/>
      <c r="CI41" s="49"/>
      <c r="CJ41" s="49"/>
    </row>
    <row r="42" spans="2:88" ht="15" customHeight="1" x14ac:dyDescent="0.3">
      <c r="C42" s="6">
        <f>C40+1</f>
        <v>5</v>
      </c>
      <c r="F42" s="213"/>
      <c r="G42" s="213"/>
      <c r="H42" s="213"/>
      <c r="K42" s="212"/>
      <c r="L42" s="212"/>
      <c r="M42" s="212"/>
      <c r="N42" s="211" t="str">
        <f>IF($AQ$18=0,"Units?",IF($AQ$18=1,"ac",IF($AQ$18=2,"sq-ft","Error")))</f>
        <v>Units?</v>
      </c>
      <c r="O42" s="211"/>
      <c r="R42" s="212"/>
      <c r="S42" s="212"/>
      <c r="T42" s="212"/>
      <c r="U42" s="211" t="str">
        <f>IF($AQ$18=0,"Units?",IF($AQ$18=1,"ac",IF($AQ$18=2,"sq-ft","Error")))</f>
        <v>Units?</v>
      </c>
      <c r="V42" s="211"/>
      <c r="Y42" s="212"/>
      <c r="Z42" s="212"/>
      <c r="AA42" s="212"/>
      <c r="AB42" s="211" t="str">
        <f>IF($AQ$18=0,"Units?",IF($AQ$18=1,"ac",IF($AQ$18=2,"sq-ft","Error")))</f>
        <v>Units?</v>
      </c>
      <c r="AC42" s="211"/>
      <c r="AE42" s="74"/>
      <c r="AF42" s="4" t="s">
        <v>129</v>
      </c>
      <c r="AH42" s="74"/>
      <c r="AI42" s="4" t="s">
        <v>130</v>
      </c>
      <c r="AM42" s="119">
        <f>IF(OR(C42&lt;=$AH$20,C42&lt;=$AH$22),2,1)</f>
        <v>1</v>
      </c>
      <c r="AN42" s="119">
        <f>IF(ISBLANK(F42),1,2)</f>
        <v>1</v>
      </c>
      <c r="AP42" s="119">
        <f>IF(AND(ISBLANK(AE42),ISBLANK(AH42)),0,1)</f>
        <v>0</v>
      </c>
      <c r="AQ42" s="119">
        <f>IF(ISBLANK(AE42),1,IF(ISBLANK(AH42),2,3))</f>
        <v>1</v>
      </c>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49"/>
      <c r="BV42" s="49"/>
      <c r="BW42" s="49"/>
      <c r="BX42" s="49"/>
      <c r="BY42" s="49"/>
      <c r="BZ42" s="49"/>
      <c r="CA42" s="49"/>
      <c r="CB42" s="49"/>
      <c r="CC42" s="49"/>
      <c r="CD42" s="49"/>
      <c r="CE42" s="49"/>
      <c r="CF42" s="49"/>
      <c r="CG42" s="49"/>
      <c r="CH42" s="49"/>
      <c r="CI42" s="49"/>
      <c r="CJ42" s="49"/>
    </row>
    <row r="43" spans="2:88" ht="4.95" customHeight="1" x14ac:dyDescent="0.3">
      <c r="C43" s="6"/>
      <c r="F43" s="12"/>
      <c r="G43" s="12"/>
      <c r="K43" s="144"/>
      <c r="L43" s="144"/>
      <c r="M43" s="144"/>
      <c r="N43" s="53"/>
      <c r="O43" s="53"/>
      <c r="R43" s="144"/>
      <c r="S43" s="144"/>
      <c r="T43" s="144"/>
      <c r="U43" s="53"/>
      <c r="V43" s="53"/>
      <c r="Y43" s="144"/>
      <c r="Z43" s="144"/>
      <c r="AA43" s="144"/>
      <c r="AE43" s="145"/>
      <c r="AH43" s="145"/>
      <c r="AM43" s="146"/>
      <c r="AN43" s="146"/>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49"/>
      <c r="BV43" s="49"/>
      <c r="BW43" s="49"/>
      <c r="BX43" s="49"/>
      <c r="BY43" s="49"/>
      <c r="BZ43" s="49"/>
      <c r="CA43" s="49"/>
      <c r="CB43" s="49"/>
      <c r="CC43" s="49"/>
      <c r="CD43" s="49"/>
      <c r="CE43" s="49"/>
      <c r="CF43" s="49"/>
      <c r="CG43" s="49"/>
      <c r="CH43" s="49"/>
      <c r="CI43" s="49"/>
      <c r="CJ43" s="49"/>
    </row>
    <row r="44" spans="2:88" ht="15" customHeight="1" x14ac:dyDescent="0.3">
      <c r="C44" s="6">
        <f>C42+1</f>
        <v>6</v>
      </c>
      <c r="F44" s="213"/>
      <c r="G44" s="213"/>
      <c r="H44" s="213"/>
      <c r="K44" s="212"/>
      <c r="L44" s="212"/>
      <c r="M44" s="212"/>
      <c r="N44" s="211" t="str">
        <f>IF($AQ$18=0,"Units?",IF($AQ$18=1,"ac",IF($AQ$18=2,"sq-ft","Error")))</f>
        <v>Units?</v>
      </c>
      <c r="O44" s="211"/>
      <c r="R44" s="212"/>
      <c r="S44" s="212"/>
      <c r="T44" s="212"/>
      <c r="U44" s="211" t="str">
        <f>IF($AQ$18=0,"Units?",IF($AQ$18=1,"ac",IF($AQ$18=2,"sq-ft","Error")))</f>
        <v>Units?</v>
      </c>
      <c r="V44" s="211"/>
      <c r="Y44" s="212"/>
      <c r="Z44" s="212"/>
      <c r="AA44" s="212"/>
      <c r="AB44" s="211" t="str">
        <f>IF($AQ$18=0,"Units?",IF($AQ$18=1,"ac",IF($AQ$18=2,"sq-ft","Error")))</f>
        <v>Units?</v>
      </c>
      <c r="AC44" s="211"/>
      <c r="AE44" s="74"/>
      <c r="AF44" s="4" t="s">
        <v>129</v>
      </c>
      <c r="AH44" s="74"/>
      <c r="AI44" s="4" t="s">
        <v>130</v>
      </c>
      <c r="AM44" s="119">
        <f>IF(OR(C44&lt;=$AH$20,C44&lt;=$AH$22),2,1)</f>
        <v>1</v>
      </c>
      <c r="AN44" s="119">
        <f>IF(ISBLANK(F44),1,2)</f>
        <v>1</v>
      </c>
      <c r="AP44" s="119">
        <f>IF(AND(ISBLANK(AE44),ISBLANK(AH44)),0,1)</f>
        <v>0</v>
      </c>
      <c r="AQ44" s="119">
        <f>IF(ISBLANK(AE44),1,IF(ISBLANK(AH44),2,3))</f>
        <v>1</v>
      </c>
      <c r="AR44" s="49"/>
      <c r="AS44" s="62"/>
      <c r="AT44" s="139"/>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49"/>
      <c r="BV44" s="49"/>
      <c r="BW44" s="49"/>
      <c r="BX44" s="49"/>
      <c r="BY44" s="49"/>
      <c r="BZ44" s="49"/>
      <c r="CA44" s="49"/>
      <c r="CB44" s="49"/>
      <c r="CC44" s="49"/>
      <c r="CD44" s="49"/>
      <c r="CE44" s="49"/>
      <c r="CF44" s="49"/>
      <c r="CG44" s="49"/>
      <c r="CH44" s="49"/>
      <c r="CI44" s="49"/>
      <c r="CJ44" s="49"/>
    </row>
    <row r="45" spans="2:88" ht="4.95" customHeight="1" x14ac:dyDescent="0.3">
      <c r="C45" s="6"/>
      <c r="F45" s="12"/>
      <c r="G45" s="12"/>
      <c r="K45" s="144"/>
      <c r="L45" s="144"/>
      <c r="M45" s="144"/>
      <c r="N45" s="53"/>
      <c r="O45" s="53"/>
      <c r="R45" s="144"/>
      <c r="S45" s="144"/>
      <c r="T45" s="144"/>
      <c r="U45" s="53"/>
      <c r="V45" s="53"/>
      <c r="Y45" s="144"/>
      <c r="Z45" s="144"/>
      <c r="AA45" s="144"/>
      <c r="AE45" s="145"/>
      <c r="AH45" s="145"/>
      <c r="AM45" s="146"/>
      <c r="AN45" s="146"/>
      <c r="AR45" s="49"/>
      <c r="AS45" s="62"/>
      <c r="AT45" s="139"/>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49"/>
      <c r="BV45" s="49"/>
      <c r="BW45" s="49"/>
      <c r="BX45" s="49"/>
      <c r="BY45" s="49"/>
      <c r="BZ45" s="49"/>
      <c r="CA45" s="49"/>
      <c r="CB45" s="49"/>
      <c r="CC45" s="49"/>
      <c r="CD45" s="49"/>
      <c r="CE45" s="49"/>
      <c r="CF45" s="49"/>
      <c r="CG45" s="49"/>
      <c r="CH45" s="49"/>
      <c r="CI45" s="49"/>
      <c r="CJ45" s="49"/>
    </row>
    <row r="46" spans="2:88" ht="15" customHeight="1" x14ac:dyDescent="0.3">
      <c r="C46" s="6">
        <f>C44+1</f>
        <v>7</v>
      </c>
      <c r="F46" s="213"/>
      <c r="G46" s="213"/>
      <c r="H46" s="213"/>
      <c r="K46" s="212"/>
      <c r="L46" s="212"/>
      <c r="M46" s="212"/>
      <c r="N46" s="211" t="str">
        <f>IF($AQ$18=0,"Units?",IF($AQ$18=1,"ac",IF($AQ$18=2,"sq-ft","Error")))</f>
        <v>Units?</v>
      </c>
      <c r="O46" s="211"/>
      <c r="R46" s="212"/>
      <c r="S46" s="212"/>
      <c r="T46" s="212"/>
      <c r="U46" s="211" t="str">
        <f>IF($AQ$18=0,"Units?",IF($AQ$18=1,"ac",IF($AQ$18=2,"sq-ft","Error")))</f>
        <v>Units?</v>
      </c>
      <c r="V46" s="211"/>
      <c r="Y46" s="212"/>
      <c r="Z46" s="212"/>
      <c r="AA46" s="212"/>
      <c r="AB46" s="211" t="str">
        <f>IF($AQ$18=0,"Units?",IF($AQ$18=1,"ac",IF($AQ$18=2,"sq-ft","Error")))</f>
        <v>Units?</v>
      </c>
      <c r="AC46" s="211"/>
      <c r="AE46" s="74"/>
      <c r="AF46" s="4" t="s">
        <v>129</v>
      </c>
      <c r="AH46" s="74"/>
      <c r="AI46" s="4" t="s">
        <v>130</v>
      </c>
      <c r="AM46" s="119">
        <f>IF(OR(C46&lt;=$AH$20,C46&lt;=$AH$22),2,1)</f>
        <v>1</v>
      </c>
      <c r="AN46" s="119">
        <f>IF(ISBLANK(F46),1,2)</f>
        <v>1</v>
      </c>
      <c r="AP46" s="119">
        <f>IF(AND(ISBLANK(AE46),ISBLANK(AH46)),0,1)</f>
        <v>0</v>
      </c>
      <c r="AQ46" s="119">
        <f>IF(ISBLANK(AE46),1,IF(ISBLANK(AH46),2,3))</f>
        <v>1</v>
      </c>
      <c r="AR46" s="62"/>
      <c r="AS46" s="142"/>
      <c r="AT46" s="139"/>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49"/>
      <c r="BV46" s="49"/>
      <c r="BW46" s="49"/>
      <c r="BX46" s="49"/>
      <c r="BY46" s="49"/>
      <c r="BZ46" s="49"/>
      <c r="CA46" s="49"/>
      <c r="CB46" s="49"/>
      <c r="CC46" s="49"/>
      <c r="CD46" s="49"/>
      <c r="CE46" s="49"/>
      <c r="CF46" s="49"/>
      <c r="CG46" s="49"/>
      <c r="CH46" s="49"/>
      <c r="CI46" s="49"/>
      <c r="CJ46" s="49"/>
    </row>
    <row r="47" spans="2:88" ht="4.95" customHeight="1" x14ac:dyDescent="0.3">
      <c r="C47" s="6"/>
      <c r="F47" s="12"/>
      <c r="G47" s="12"/>
      <c r="K47" s="144"/>
      <c r="L47" s="144"/>
      <c r="M47" s="144"/>
      <c r="N47" s="53"/>
      <c r="O47" s="53"/>
      <c r="R47" s="144"/>
      <c r="S47" s="144"/>
      <c r="T47" s="144"/>
      <c r="U47" s="53"/>
      <c r="V47" s="53"/>
      <c r="Y47" s="144"/>
      <c r="Z47" s="144"/>
      <c r="AA47" s="144"/>
      <c r="AE47" s="145"/>
      <c r="AH47" s="145"/>
      <c r="AM47" s="146"/>
      <c r="AN47" s="146"/>
      <c r="AR47" s="62"/>
      <c r="AS47" s="142"/>
      <c r="AT47" s="139"/>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49"/>
      <c r="BV47" s="49"/>
      <c r="BW47" s="49"/>
      <c r="BX47" s="49"/>
      <c r="BY47" s="49"/>
      <c r="BZ47" s="49"/>
      <c r="CA47" s="49"/>
      <c r="CB47" s="49"/>
      <c r="CC47" s="49"/>
      <c r="CD47" s="49"/>
      <c r="CE47" s="49"/>
      <c r="CF47" s="49"/>
      <c r="CG47" s="49"/>
      <c r="CH47" s="49"/>
      <c r="CI47" s="49"/>
      <c r="CJ47" s="49"/>
    </row>
    <row r="48" spans="2:88" ht="15" customHeight="1" x14ac:dyDescent="0.3">
      <c r="C48" s="6">
        <f>C46+1</f>
        <v>8</v>
      </c>
      <c r="F48" s="213"/>
      <c r="G48" s="213"/>
      <c r="H48" s="213"/>
      <c r="K48" s="212"/>
      <c r="L48" s="212"/>
      <c r="M48" s="212"/>
      <c r="N48" s="211" t="str">
        <f>IF($AQ$18=0,"Units?",IF($AQ$18=1,"ac",IF($AQ$18=2,"sq-ft","Error")))</f>
        <v>Units?</v>
      </c>
      <c r="O48" s="211"/>
      <c r="R48" s="212"/>
      <c r="S48" s="212"/>
      <c r="T48" s="212"/>
      <c r="U48" s="211" t="str">
        <f>IF($AQ$18=0,"Units?",IF($AQ$18=1,"ac",IF($AQ$18=2,"sq-ft","Error")))</f>
        <v>Units?</v>
      </c>
      <c r="V48" s="211"/>
      <c r="Y48" s="212"/>
      <c r="Z48" s="212"/>
      <c r="AA48" s="212"/>
      <c r="AB48" s="211" t="str">
        <f>IF($AQ$18=0,"Units?",IF($AQ$18=1,"ac",IF($AQ$18=2,"sq-ft","Error")))</f>
        <v>Units?</v>
      </c>
      <c r="AC48" s="211"/>
      <c r="AE48" s="74"/>
      <c r="AF48" s="4" t="s">
        <v>129</v>
      </c>
      <c r="AH48" s="74"/>
      <c r="AI48" s="4" t="s">
        <v>130</v>
      </c>
      <c r="AM48" s="119">
        <f>IF(OR(C48&lt;=$AH$20,C48&lt;=$AH$22),2,1)</f>
        <v>1</v>
      </c>
      <c r="AN48" s="119">
        <f>IF(ISBLANK(F48),1,2)</f>
        <v>1</v>
      </c>
      <c r="AP48" s="119">
        <f>IF(AND(ISBLANK(AE48),ISBLANK(AH48)),0,1)</f>
        <v>0</v>
      </c>
      <c r="AQ48" s="119">
        <f>IF(ISBLANK(AE48),1,IF(ISBLANK(AH48),2,3))</f>
        <v>1</v>
      </c>
      <c r="AR48" s="49"/>
      <c r="AS48" s="62"/>
      <c r="AT48" s="139"/>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49"/>
      <c r="BV48" s="49"/>
      <c r="BW48" s="49"/>
      <c r="BX48" s="49"/>
      <c r="BY48" s="49"/>
      <c r="BZ48" s="49"/>
      <c r="CA48" s="49"/>
      <c r="CB48" s="49"/>
      <c r="CC48" s="49"/>
      <c r="CD48" s="49"/>
      <c r="CE48" s="49"/>
      <c r="CF48" s="49"/>
      <c r="CG48" s="49"/>
      <c r="CH48" s="49"/>
      <c r="CI48" s="49"/>
      <c r="CJ48" s="49"/>
    </row>
    <row r="49" spans="3:88" ht="4.95" customHeight="1" x14ac:dyDescent="0.3">
      <c r="C49" s="6"/>
      <c r="F49" s="12"/>
      <c r="G49" s="12"/>
      <c r="K49" s="144"/>
      <c r="L49" s="144"/>
      <c r="M49" s="144"/>
      <c r="N49" s="53"/>
      <c r="O49" s="53"/>
      <c r="R49" s="144"/>
      <c r="S49" s="144"/>
      <c r="T49" s="144"/>
      <c r="U49" s="53"/>
      <c r="V49" s="53"/>
      <c r="Y49" s="144"/>
      <c r="Z49" s="144"/>
      <c r="AA49" s="144"/>
      <c r="AE49" s="145"/>
      <c r="AH49" s="145"/>
      <c r="AM49" s="146"/>
      <c r="AN49" s="146"/>
      <c r="AR49" s="49"/>
      <c r="AS49" s="62"/>
      <c r="AT49" s="139"/>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49"/>
      <c r="BV49" s="49"/>
      <c r="BW49" s="49"/>
      <c r="BX49" s="49"/>
      <c r="BY49" s="49"/>
      <c r="BZ49" s="49"/>
      <c r="CA49" s="49"/>
      <c r="CB49" s="49"/>
      <c r="CC49" s="49"/>
      <c r="CD49" s="49"/>
      <c r="CE49" s="49"/>
      <c r="CF49" s="49"/>
      <c r="CG49" s="49"/>
      <c r="CH49" s="49"/>
      <c r="CI49" s="49"/>
      <c r="CJ49" s="49"/>
    </row>
    <row r="50" spans="3:88" ht="15" customHeight="1" x14ac:dyDescent="0.3">
      <c r="C50" s="6">
        <f>C48+1</f>
        <v>9</v>
      </c>
      <c r="F50" s="213"/>
      <c r="G50" s="213"/>
      <c r="H50" s="213"/>
      <c r="K50" s="212"/>
      <c r="L50" s="212"/>
      <c r="M50" s="212"/>
      <c r="N50" s="211" t="str">
        <f>IF($AQ$18=0,"Units?",IF($AQ$18=1,"ac",IF($AQ$18=2,"sq-ft","Error")))</f>
        <v>Units?</v>
      </c>
      <c r="O50" s="211"/>
      <c r="R50" s="212"/>
      <c r="S50" s="212"/>
      <c r="T50" s="212"/>
      <c r="U50" s="211" t="str">
        <f>IF($AQ$18=0,"Units?",IF($AQ$18=1,"ac",IF($AQ$18=2,"sq-ft","Error")))</f>
        <v>Units?</v>
      </c>
      <c r="V50" s="211"/>
      <c r="Y50" s="212"/>
      <c r="Z50" s="212"/>
      <c r="AA50" s="212"/>
      <c r="AB50" s="211" t="str">
        <f>IF($AQ$18=0,"Units?",IF($AQ$18=1,"ac",IF($AQ$18=2,"sq-ft","Error")))</f>
        <v>Units?</v>
      </c>
      <c r="AC50" s="211"/>
      <c r="AE50" s="74"/>
      <c r="AF50" s="4" t="s">
        <v>129</v>
      </c>
      <c r="AH50" s="74"/>
      <c r="AI50" s="4" t="s">
        <v>130</v>
      </c>
      <c r="AM50" s="119">
        <f>IF(OR(C50&lt;=$AH$20,C50&lt;=$AH$22),2,1)</f>
        <v>1</v>
      </c>
      <c r="AN50" s="119">
        <f>IF(ISBLANK(F50),1,2)</f>
        <v>1</v>
      </c>
      <c r="AP50" s="119">
        <f>IF(AND(ISBLANK(AE50),ISBLANK(AH50)),0,1)</f>
        <v>0</v>
      </c>
      <c r="AQ50" s="119">
        <f>IF(ISBLANK(AE50),1,IF(ISBLANK(AH50),2,3))</f>
        <v>1</v>
      </c>
      <c r="AR50" s="49"/>
      <c r="AS50" s="62"/>
      <c r="AT50" s="139"/>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49"/>
      <c r="BV50" s="49"/>
      <c r="BW50" s="49"/>
      <c r="BX50" s="49"/>
      <c r="BY50" s="49"/>
      <c r="BZ50" s="49"/>
      <c r="CA50" s="49"/>
      <c r="CB50" s="49"/>
      <c r="CC50" s="49"/>
      <c r="CD50" s="49"/>
      <c r="CE50" s="49"/>
      <c r="CF50" s="49"/>
      <c r="CG50" s="49"/>
      <c r="CH50" s="49"/>
      <c r="CI50" s="49"/>
      <c r="CJ50" s="49"/>
    </row>
    <row r="51" spans="3:88" ht="4.95" customHeight="1" x14ac:dyDescent="0.3">
      <c r="C51" s="6"/>
      <c r="F51" s="12"/>
      <c r="G51" s="12"/>
      <c r="K51" s="144"/>
      <c r="L51" s="144"/>
      <c r="M51" s="144"/>
      <c r="N51" s="53"/>
      <c r="O51" s="53"/>
      <c r="R51" s="144"/>
      <c r="S51" s="144"/>
      <c r="T51" s="144"/>
      <c r="U51" s="53"/>
      <c r="V51" s="53"/>
      <c r="Y51" s="144"/>
      <c r="Z51" s="144"/>
      <c r="AA51" s="144"/>
      <c r="AE51" s="145"/>
      <c r="AH51" s="145"/>
      <c r="AM51" s="146"/>
      <c r="AN51" s="146"/>
      <c r="AR51" s="49"/>
      <c r="AS51" s="62"/>
      <c r="AT51" s="139"/>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49"/>
      <c r="BV51" s="49"/>
      <c r="BW51" s="49"/>
      <c r="BX51" s="49"/>
      <c r="BY51" s="49"/>
      <c r="BZ51" s="49"/>
      <c r="CA51" s="49"/>
      <c r="CB51" s="49"/>
      <c r="CC51" s="49"/>
      <c r="CD51" s="49"/>
      <c r="CE51" s="49"/>
      <c r="CF51" s="49"/>
      <c r="CG51" s="49"/>
      <c r="CH51" s="49"/>
      <c r="CI51" s="49"/>
      <c r="CJ51" s="49"/>
    </row>
    <row r="52" spans="3:88" ht="15" customHeight="1" x14ac:dyDescent="0.3">
      <c r="C52" s="6">
        <f>C50+1</f>
        <v>10</v>
      </c>
      <c r="F52" s="213"/>
      <c r="G52" s="213"/>
      <c r="H52" s="213"/>
      <c r="K52" s="212"/>
      <c r="L52" s="212"/>
      <c r="M52" s="212"/>
      <c r="N52" s="211" t="str">
        <f>IF($AQ$18=0,"Units?",IF($AQ$18=1,"ac",IF($AQ$18=2,"sq-ft","Error")))</f>
        <v>Units?</v>
      </c>
      <c r="O52" s="211"/>
      <c r="R52" s="212"/>
      <c r="S52" s="212"/>
      <c r="T52" s="212"/>
      <c r="U52" s="211" t="str">
        <f>IF($AQ$18=0,"Units?",IF($AQ$18=1,"ac",IF($AQ$18=2,"sq-ft","Error")))</f>
        <v>Units?</v>
      </c>
      <c r="V52" s="211"/>
      <c r="Y52" s="212"/>
      <c r="Z52" s="212"/>
      <c r="AA52" s="212"/>
      <c r="AB52" s="211" t="str">
        <f>IF($AQ$18=0,"Units?",IF($AQ$18=1,"ac",IF($AQ$18=2,"sq-ft","Error")))</f>
        <v>Units?</v>
      </c>
      <c r="AC52" s="211"/>
      <c r="AE52" s="74"/>
      <c r="AF52" s="4" t="s">
        <v>129</v>
      </c>
      <c r="AH52" s="74"/>
      <c r="AI52" s="4" t="s">
        <v>130</v>
      </c>
      <c r="AM52" s="119">
        <f>IF(OR(C52&lt;=$AH$20,C52&lt;=$AH$22),2,1)</f>
        <v>1</v>
      </c>
      <c r="AN52" s="119">
        <f>IF(ISBLANK(F52),1,2)</f>
        <v>1</v>
      </c>
      <c r="AP52" s="119">
        <f>IF(AND(ISBLANK(AE52),ISBLANK(AH52)),0,1)</f>
        <v>0</v>
      </c>
      <c r="AQ52" s="119">
        <f>IF(ISBLANK(AE52),1,IF(ISBLANK(AH52),2,3))</f>
        <v>1</v>
      </c>
      <c r="AR52" s="49"/>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49"/>
      <c r="BV52" s="49"/>
      <c r="BW52" s="49"/>
      <c r="BX52" s="49"/>
      <c r="BY52" s="49"/>
      <c r="BZ52" s="49"/>
      <c r="CA52" s="49"/>
      <c r="CB52" s="49"/>
      <c r="CC52" s="49"/>
      <c r="CD52" s="49"/>
      <c r="CE52" s="49"/>
      <c r="CF52" s="49"/>
      <c r="CG52" s="49"/>
      <c r="CH52" s="49"/>
      <c r="CI52" s="49"/>
      <c r="CJ52" s="49"/>
    </row>
    <row r="53" spans="3:88" ht="4.95" customHeight="1" x14ac:dyDescent="0.3">
      <c r="C53" s="6"/>
      <c r="F53" s="12"/>
      <c r="G53" s="12"/>
      <c r="K53" s="144"/>
      <c r="L53" s="144"/>
      <c r="M53" s="144"/>
      <c r="N53" s="53"/>
      <c r="O53" s="53"/>
      <c r="R53" s="144"/>
      <c r="S53" s="144"/>
      <c r="T53" s="144"/>
      <c r="U53" s="53"/>
      <c r="V53" s="53"/>
      <c r="Y53" s="144"/>
      <c r="Z53" s="144"/>
      <c r="AA53" s="144"/>
      <c r="AE53" s="145"/>
      <c r="AH53" s="145"/>
      <c r="AM53" s="146"/>
      <c r="AN53" s="146"/>
      <c r="AR53" s="49"/>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49"/>
      <c r="BV53" s="49"/>
      <c r="BW53" s="49"/>
      <c r="BX53" s="49"/>
      <c r="BY53" s="49"/>
      <c r="BZ53" s="49"/>
      <c r="CA53" s="49"/>
      <c r="CB53" s="49"/>
      <c r="CC53" s="49"/>
      <c r="CD53" s="49"/>
      <c r="CE53" s="49"/>
      <c r="CF53" s="49"/>
      <c r="CG53" s="49"/>
      <c r="CH53" s="49"/>
      <c r="CI53" s="49"/>
      <c r="CJ53" s="49"/>
    </row>
    <row r="54" spans="3:88" ht="15" customHeight="1" x14ac:dyDescent="0.3">
      <c r="C54" s="6">
        <f>C52+1</f>
        <v>11</v>
      </c>
      <c r="F54" s="213"/>
      <c r="G54" s="213"/>
      <c r="H54" s="213"/>
      <c r="K54" s="212"/>
      <c r="L54" s="212"/>
      <c r="M54" s="212"/>
      <c r="N54" s="211" t="str">
        <f>IF($AQ$18=0,"Units?",IF($AQ$18=1,"ac",IF($AQ$18=2,"sq-ft","Error")))</f>
        <v>Units?</v>
      </c>
      <c r="O54" s="211"/>
      <c r="R54" s="212"/>
      <c r="S54" s="212"/>
      <c r="T54" s="212"/>
      <c r="U54" s="211" t="str">
        <f>IF($AQ$18=0,"Units?",IF($AQ$18=1,"ac",IF($AQ$18=2,"sq-ft","Error")))</f>
        <v>Units?</v>
      </c>
      <c r="V54" s="211"/>
      <c r="Y54" s="212"/>
      <c r="Z54" s="212"/>
      <c r="AA54" s="212"/>
      <c r="AB54" s="211" t="str">
        <f>IF($AQ$18=0,"Units?",IF($AQ$18=1,"ac",IF($AQ$18=2,"sq-ft","Error")))</f>
        <v>Units?</v>
      </c>
      <c r="AC54" s="211"/>
      <c r="AE54" s="74"/>
      <c r="AF54" s="4" t="s">
        <v>129</v>
      </c>
      <c r="AH54" s="74"/>
      <c r="AI54" s="4" t="s">
        <v>130</v>
      </c>
      <c r="AM54" s="119">
        <f>IF(OR(C54&lt;=$AH$20,C54&lt;=$AH$22),2,1)</f>
        <v>1</v>
      </c>
      <c r="AN54" s="119">
        <f>IF(ISBLANK(F54),1,2)</f>
        <v>1</v>
      </c>
      <c r="AP54" s="119">
        <f>IF(AND(ISBLANK(AE54),ISBLANK(AH54)),0,1)</f>
        <v>0</v>
      </c>
      <c r="AQ54" s="119">
        <f>IF(ISBLANK(AE54),1,IF(ISBLANK(AH54),2,3))</f>
        <v>1</v>
      </c>
      <c r="AR54" s="49"/>
      <c r="AS54" s="62"/>
      <c r="AT54" s="139"/>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49"/>
      <c r="BV54" s="49"/>
      <c r="BW54" s="49"/>
      <c r="BX54" s="49"/>
      <c r="BY54" s="49"/>
      <c r="BZ54" s="49"/>
      <c r="CA54" s="49"/>
      <c r="CB54" s="49"/>
      <c r="CC54" s="49"/>
      <c r="CD54" s="49"/>
      <c r="CE54" s="49"/>
      <c r="CF54" s="49"/>
      <c r="CG54" s="49"/>
      <c r="CH54" s="49"/>
      <c r="CI54" s="49"/>
      <c r="CJ54" s="49"/>
    </row>
    <row r="55" spans="3:88" ht="4.95" customHeight="1" x14ac:dyDescent="0.3">
      <c r="C55" s="6"/>
      <c r="F55" s="12"/>
      <c r="G55" s="12"/>
      <c r="K55" s="144"/>
      <c r="L55" s="144"/>
      <c r="M55" s="144"/>
      <c r="N55" s="53"/>
      <c r="O55" s="53"/>
      <c r="R55" s="144"/>
      <c r="S55" s="144"/>
      <c r="T55" s="144"/>
      <c r="U55" s="53"/>
      <c r="V55" s="53"/>
      <c r="Y55" s="144"/>
      <c r="Z55" s="144"/>
      <c r="AA55" s="144"/>
      <c r="AE55" s="145"/>
      <c r="AH55" s="145"/>
      <c r="AM55" s="146"/>
      <c r="AN55" s="146"/>
      <c r="AR55" s="49"/>
      <c r="AS55" s="62"/>
      <c r="AT55" s="139"/>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49"/>
      <c r="BV55" s="49"/>
      <c r="BW55" s="49"/>
      <c r="BX55" s="49"/>
      <c r="BY55" s="49"/>
      <c r="BZ55" s="49"/>
      <c r="CA55" s="49"/>
      <c r="CB55" s="49"/>
      <c r="CC55" s="49"/>
      <c r="CD55" s="49"/>
      <c r="CE55" s="49"/>
      <c r="CF55" s="49"/>
      <c r="CG55" s="49"/>
      <c r="CH55" s="49"/>
      <c r="CI55" s="49"/>
      <c r="CJ55" s="49"/>
    </row>
    <row r="56" spans="3:88" ht="15" customHeight="1" x14ac:dyDescent="0.3">
      <c r="C56" s="6">
        <f>C54+1</f>
        <v>12</v>
      </c>
      <c r="F56" s="213"/>
      <c r="G56" s="213"/>
      <c r="H56" s="213"/>
      <c r="K56" s="212"/>
      <c r="L56" s="212"/>
      <c r="M56" s="212"/>
      <c r="N56" s="211" t="str">
        <f>IF($AQ$18=0,"Units?",IF($AQ$18=1,"ac",IF($AQ$18=2,"sq-ft","Error")))</f>
        <v>Units?</v>
      </c>
      <c r="O56" s="211"/>
      <c r="R56" s="212"/>
      <c r="S56" s="212"/>
      <c r="T56" s="212"/>
      <c r="U56" s="211" t="str">
        <f>IF($AQ$18=0,"Units?",IF($AQ$18=1,"ac",IF($AQ$18=2,"sq-ft","Error")))</f>
        <v>Units?</v>
      </c>
      <c r="V56" s="211"/>
      <c r="Y56" s="212"/>
      <c r="Z56" s="212"/>
      <c r="AA56" s="212"/>
      <c r="AB56" s="211" t="str">
        <f>IF($AQ$18=0,"Units?",IF($AQ$18=1,"ac",IF($AQ$18=2,"sq-ft","Error")))</f>
        <v>Units?</v>
      </c>
      <c r="AC56" s="211"/>
      <c r="AE56" s="74"/>
      <c r="AF56" s="4" t="s">
        <v>129</v>
      </c>
      <c r="AH56" s="74"/>
      <c r="AI56" s="4" t="s">
        <v>130</v>
      </c>
      <c r="AM56" s="119">
        <f>IF(OR(C56&lt;=$AH$20,C56&lt;=$AH$22),2,1)</f>
        <v>1</v>
      </c>
      <c r="AN56" s="119">
        <f>IF(ISBLANK(F56),1,2)</f>
        <v>1</v>
      </c>
      <c r="AP56" s="119">
        <f>IF(AND(ISBLANK(AE56),ISBLANK(AH56)),0,1)</f>
        <v>0</v>
      </c>
      <c r="AQ56" s="119">
        <f>IF(ISBLANK(AE56),1,IF(ISBLANK(AH56),2,3))</f>
        <v>1</v>
      </c>
      <c r="AR56" s="49"/>
      <c r="AS56" s="62"/>
      <c r="AT56" s="139"/>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49"/>
      <c r="BV56" s="49"/>
      <c r="BW56" s="49"/>
      <c r="BX56" s="49"/>
      <c r="BY56" s="49"/>
      <c r="BZ56" s="49"/>
      <c r="CA56" s="49"/>
      <c r="CB56" s="49"/>
      <c r="CC56" s="49"/>
      <c r="CD56" s="49"/>
      <c r="CE56" s="49"/>
      <c r="CF56" s="49"/>
      <c r="CG56" s="49"/>
      <c r="CH56" s="49"/>
      <c r="CI56" s="49"/>
      <c r="CJ56" s="49"/>
    </row>
    <row r="57" spans="3:88" ht="4.95" customHeight="1" x14ac:dyDescent="0.3">
      <c r="C57" s="6"/>
      <c r="F57" s="12"/>
      <c r="G57" s="12"/>
      <c r="K57" s="144"/>
      <c r="L57" s="144"/>
      <c r="M57" s="144"/>
      <c r="N57" s="53"/>
      <c r="O57" s="53"/>
      <c r="R57" s="144"/>
      <c r="S57" s="144"/>
      <c r="T57" s="144"/>
      <c r="U57" s="53"/>
      <c r="V57" s="53"/>
      <c r="Y57" s="144"/>
      <c r="Z57" s="144"/>
      <c r="AA57" s="144"/>
      <c r="AE57" s="145"/>
      <c r="AH57" s="145"/>
      <c r="AM57" s="146"/>
      <c r="AN57" s="146"/>
      <c r="AR57" s="49"/>
      <c r="AS57" s="62"/>
      <c r="AT57" s="139"/>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49"/>
      <c r="BV57" s="49"/>
      <c r="BW57" s="49"/>
      <c r="BX57" s="49"/>
      <c r="BY57" s="49"/>
      <c r="BZ57" s="49"/>
      <c r="CA57" s="49"/>
      <c r="CB57" s="49"/>
      <c r="CC57" s="49"/>
      <c r="CD57" s="49"/>
      <c r="CE57" s="49"/>
      <c r="CF57" s="49"/>
      <c r="CG57" s="49"/>
      <c r="CH57" s="49"/>
      <c r="CI57" s="49"/>
      <c r="CJ57" s="49"/>
    </row>
    <row r="58" spans="3:88" ht="15" customHeight="1" x14ac:dyDescent="0.3">
      <c r="C58" s="6">
        <f>C56+1</f>
        <v>13</v>
      </c>
      <c r="F58" s="213"/>
      <c r="G58" s="213"/>
      <c r="H58" s="213"/>
      <c r="K58" s="212"/>
      <c r="L58" s="212"/>
      <c r="M58" s="212"/>
      <c r="N58" s="211" t="str">
        <f>IF($AQ$18=0,"Units?",IF($AQ$18=1,"ac",IF($AQ$18=2,"sq-ft","Error")))</f>
        <v>Units?</v>
      </c>
      <c r="O58" s="211"/>
      <c r="R58" s="212"/>
      <c r="S58" s="212"/>
      <c r="T58" s="212"/>
      <c r="U58" s="211" t="str">
        <f>IF($AQ$18=0,"Units?",IF($AQ$18=1,"ac",IF($AQ$18=2,"sq-ft","Error")))</f>
        <v>Units?</v>
      </c>
      <c r="V58" s="211"/>
      <c r="Y58" s="212"/>
      <c r="Z58" s="212"/>
      <c r="AA58" s="212"/>
      <c r="AB58" s="211" t="str">
        <f>IF($AQ$18=0,"Units?",IF($AQ$18=1,"ac",IF($AQ$18=2,"sq-ft","Error")))</f>
        <v>Units?</v>
      </c>
      <c r="AC58" s="211"/>
      <c r="AE58" s="74"/>
      <c r="AF58" s="4" t="s">
        <v>129</v>
      </c>
      <c r="AH58" s="74"/>
      <c r="AI58" s="4" t="s">
        <v>130</v>
      </c>
      <c r="AM58" s="119">
        <f>IF(OR(C58&lt;=$AH$20,C58&lt;=$AH$22),2,1)</f>
        <v>1</v>
      </c>
      <c r="AN58" s="119">
        <f>IF(ISBLANK(F58),1,2)</f>
        <v>1</v>
      </c>
      <c r="AP58" s="119">
        <f>IF(AND(ISBLANK(AE58),ISBLANK(AH58)),0,1)</f>
        <v>0</v>
      </c>
      <c r="AQ58" s="119">
        <f>IF(ISBLANK(AE58),1,IF(ISBLANK(AH58),2,3))</f>
        <v>1</v>
      </c>
      <c r="AR58" s="49"/>
      <c r="AS58" s="62"/>
      <c r="AT58" s="139"/>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49"/>
      <c r="BV58" s="49"/>
      <c r="BW58" s="49"/>
      <c r="BX58" s="49"/>
      <c r="BY58" s="49"/>
      <c r="BZ58" s="49"/>
      <c r="CA58" s="49"/>
      <c r="CB58" s="49"/>
      <c r="CC58" s="49"/>
      <c r="CD58" s="49"/>
      <c r="CE58" s="49"/>
      <c r="CF58" s="49"/>
      <c r="CG58" s="49"/>
      <c r="CH58" s="49"/>
      <c r="CI58" s="49"/>
      <c r="CJ58" s="49"/>
    </row>
    <row r="59" spans="3:88" ht="4.95" customHeight="1" x14ac:dyDescent="0.3">
      <c r="C59" s="6"/>
      <c r="F59" s="12"/>
      <c r="G59" s="12"/>
      <c r="K59" s="144"/>
      <c r="L59" s="144"/>
      <c r="M59" s="144"/>
      <c r="N59" s="53"/>
      <c r="O59" s="53"/>
      <c r="R59" s="144"/>
      <c r="S59" s="144"/>
      <c r="T59" s="144"/>
      <c r="U59" s="53"/>
      <c r="V59" s="53"/>
      <c r="Y59" s="144"/>
      <c r="Z59" s="144"/>
      <c r="AA59" s="144"/>
      <c r="AE59" s="145"/>
      <c r="AH59" s="145"/>
      <c r="AM59" s="146"/>
      <c r="AN59" s="146"/>
      <c r="AR59" s="49"/>
      <c r="AS59" s="62"/>
      <c r="AT59" s="139"/>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49"/>
      <c r="BV59" s="49"/>
      <c r="BW59" s="49"/>
      <c r="BX59" s="49"/>
      <c r="BY59" s="49"/>
      <c r="BZ59" s="49"/>
      <c r="CA59" s="49"/>
      <c r="CB59" s="49"/>
      <c r="CC59" s="49"/>
      <c r="CD59" s="49"/>
      <c r="CE59" s="49"/>
      <c r="CF59" s="49"/>
      <c r="CG59" s="49"/>
      <c r="CH59" s="49"/>
      <c r="CI59" s="49"/>
      <c r="CJ59" s="49"/>
    </row>
    <row r="60" spans="3:88" ht="15" customHeight="1" x14ac:dyDescent="0.3">
      <c r="C60" s="6">
        <f>C58+1</f>
        <v>14</v>
      </c>
      <c r="F60" s="213"/>
      <c r="G60" s="213"/>
      <c r="H60" s="213"/>
      <c r="K60" s="212"/>
      <c r="L60" s="212"/>
      <c r="M60" s="212"/>
      <c r="N60" s="211" t="str">
        <f>IF($AQ$18=0,"Units?",IF($AQ$18=1,"ac",IF($AQ$18=2,"sq-ft","Error")))</f>
        <v>Units?</v>
      </c>
      <c r="O60" s="211"/>
      <c r="R60" s="212"/>
      <c r="S60" s="212"/>
      <c r="T60" s="212"/>
      <c r="U60" s="211" t="str">
        <f>IF($AQ$18=0,"Units?",IF($AQ$18=1,"ac",IF($AQ$18=2,"sq-ft","Error")))</f>
        <v>Units?</v>
      </c>
      <c r="V60" s="211"/>
      <c r="Y60" s="212"/>
      <c r="Z60" s="212"/>
      <c r="AA60" s="212"/>
      <c r="AB60" s="211" t="str">
        <f>IF($AQ$18=0,"Units?",IF($AQ$18=1,"ac",IF($AQ$18=2,"sq-ft","Error")))</f>
        <v>Units?</v>
      </c>
      <c r="AC60" s="211"/>
      <c r="AE60" s="74"/>
      <c r="AF60" s="4" t="s">
        <v>129</v>
      </c>
      <c r="AH60" s="74"/>
      <c r="AI60" s="4" t="s">
        <v>130</v>
      </c>
      <c r="AM60" s="119">
        <f>IF(OR(C60&lt;=$AH$20,C60&lt;=$AH$22),2,1)</f>
        <v>1</v>
      </c>
      <c r="AN60" s="119">
        <f>IF(ISBLANK(F60),1,2)</f>
        <v>1</v>
      </c>
      <c r="AP60" s="119">
        <f>IF(AND(ISBLANK(AE60),ISBLANK(AH60)),0,1)</f>
        <v>0</v>
      </c>
      <c r="AQ60" s="119">
        <f>IF(ISBLANK(AE60),1,IF(ISBLANK(AH60),2,3))</f>
        <v>1</v>
      </c>
      <c r="AR60" s="49"/>
      <c r="AS60" s="62"/>
      <c r="AT60" s="139"/>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49"/>
      <c r="BV60" s="49"/>
      <c r="BW60" s="49"/>
      <c r="BX60" s="49"/>
      <c r="BY60" s="49"/>
      <c r="BZ60" s="49"/>
      <c r="CA60" s="49"/>
      <c r="CB60" s="49"/>
      <c r="CC60" s="49"/>
      <c r="CD60" s="49"/>
      <c r="CE60" s="49"/>
      <c r="CF60" s="49"/>
      <c r="CG60" s="49"/>
      <c r="CH60" s="49"/>
      <c r="CI60" s="49"/>
      <c r="CJ60" s="49"/>
    </row>
    <row r="61" spans="3:88" ht="4.95" customHeight="1" x14ac:dyDescent="0.3">
      <c r="C61" s="6"/>
      <c r="F61" s="12"/>
      <c r="G61" s="12"/>
      <c r="K61" s="144"/>
      <c r="L61" s="144"/>
      <c r="M61" s="144"/>
      <c r="N61" s="53"/>
      <c r="O61" s="53"/>
      <c r="R61" s="144"/>
      <c r="S61" s="144"/>
      <c r="T61" s="144"/>
      <c r="U61" s="53"/>
      <c r="V61" s="53"/>
      <c r="Y61" s="144"/>
      <c r="Z61" s="144"/>
      <c r="AA61" s="144"/>
      <c r="AE61" s="145"/>
      <c r="AH61" s="145"/>
      <c r="AM61" s="146"/>
      <c r="AN61" s="146"/>
      <c r="AR61" s="49"/>
      <c r="AS61" s="62"/>
      <c r="AT61" s="139"/>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49"/>
      <c r="BV61" s="49"/>
      <c r="BW61" s="49"/>
      <c r="BX61" s="49"/>
      <c r="BY61" s="49"/>
      <c r="BZ61" s="49"/>
      <c r="CA61" s="49"/>
      <c r="CB61" s="49"/>
      <c r="CC61" s="49"/>
      <c r="CD61" s="49"/>
      <c r="CE61" s="49"/>
      <c r="CF61" s="49"/>
      <c r="CG61" s="49"/>
      <c r="CH61" s="49"/>
      <c r="CI61" s="49"/>
      <c r="CJ61" s="49"/>
    </row>
    <row r="62" spans="3:88" ht="15" customHeight="1" x14ac:dyDescent="0.3">
      <c r="C62" s="6">
        <f t="shared" ref="C62" si="0">C60+1</f>
        <v>15</v>
      </c>
      <c r="F62" s="213"/>
      <c r="G62" s="213"/>
      <c r="H62" s="213"/>
      <c r="K62" s="212"/>
      <c r="L62" s="212"/>
      <c r="M62" s="212"/>
      <c r="N62" s="211" t="str">
        <f>IF($AQ$18=0,"Units?",IF($AQ$18=1,"ac",IF($AQ$18=2,"sq-ft","Error")))</f>
        <v>Units?</v>
      </c>
      <c r="O62" s="211"/>
      <c r="R62" s="212"/>
      <c r="S62" s="212"/>
      <c r="T62" s="212"/>
      <c r="U62" s="211" t="str">
        <f>IF($AQ$18=0,"Units?",IF($AQ$18=1,"ac",IF($AQ$18=2,"sq-ft","Error")))</f>
        <v>Units?</v>
      </c>
      <c r="V62" s="211"/>
      <c r="Y62" s="212"/>
      <c r="Z62" s="212"/>
      <c r="AA62" s="212"/>
      <c r="AB62" s="211" t="str">
        <f>IF($AQ$18=0,"Units?",IF($AQ$18=1,"ac",IF($AQ$18=2,"sq-ft","Error")))</f>
        <v>Units?</v>
      </c>
      <c r="AC62" s="211"/>
      <c r="AE62" s="74"/>
      <c r="AF62" s="4" t="s">
        <v>129</v>
      </c>
      <c r="AH62" s="74"/>
      <c r="AI62" s="4" t="s">
        <v>130</v>
      </c>
      <c r="AM62" s="119">
        <f>IF(OR(C62&lt;=$AH$20,C62&lt;=$AH$22),2,1)</f>
        <v>1</v>
      </c>
      <c r="AN62" s="119">
        <f>IF(ISBLANK(F62),1,2)</f>
        <v>1</v>
      </c>
      <c r="AP62" s="119">
        <f>IF(AND(ISBLANK(AE62),ISBLANK(AH62)),0,1)</f>
        <v>0</v>
      </c>
      <c r="AQ62" s="119">
        <f>IF(ISBLANK(AE62),1,IF(ISBLANK(AH62),2,3))</f>
        <v>1</v>
      </c>
      <c r="AR62" s="49"/>
      <c r="AS62" s="62"/>
      <c r="AT62" s="139"/>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49"/>
      <c r="BV62" s="49"/>
      <c r="BW62" s="49"/>
      <c r="BX62" s="49"/>
      <c r="BY62" s="49"/>
      <c r="BZ62" s="49"/>
      <c r="CA62" s="49"/>
      <c r="CB62" s="49"/>
      <c r="CC62" s="49"/>
      <c r="CD62" s="49"/>
      <c r="CE62" s="49"/>
      <c r="CF62" s="49"/>
      <c r="CG62" s="49"/>
      <c r="CH62" s="49"/>
      <c r="CI62" s="49"/>
      <c r="CJ62" s="49"/>
    </row>
    <row r="63" spans="3:88" ht="4.95" customHeight="1" x14ac:dyDescent="0.3">
      <c r="AR63" s="49"/>
      <c r="AS63" s="62"/>
      <c r="AT63" s="139"/>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49"/>
      <c r="BV63" s="49"/>
      <c r="BW63" s="49"/>
      <c r="BX63" s="49"/>
      <c r="BY63" s="49"/>
      <c r="BZ63" s="49"/>
      <c r="CA63" s="49"/>
      <c r="CB63" s="49"/>
      <c r="CC63" s="49"/>
      <c r="CD63" s="49"/>
      <c r="CE63" s="49"/>
      <c r="CF63" s="49"/>
      <c r="CG63" s="49"/>
      <c r="CH63" s="49"/>
      <c r="CI63" s="49"/>
      <c r="CJ63" s="49"/>
    </row>
    <row r="64" spans="3:88" ht="15" customHeight="1" x14ac:dyDescent="0.3">
      <c r="J64" s="2" t="s">
        <v>350</v>
      </c>
      <c r="K64" s="216">
        <f>SUM(K34:M62)</f>
        <v>0</v>
      </c>
      <c r="L64" s="216"/>
      <c r="M64" s="216"/>
      <c r="N64" s="211" t="str">
        <f>IF($AQ$18=0,"Units?",IF($AQ$18=1,"ac",IF($AQ$18=2,"sq-ft","Error")))</f>
        <v>Units?</v>
      </c>
      <c r="O64" s="211"/>
      <c r="Q64" s="2" t="s">
        <v>350</v>
      </c>
      <c r="R64" s="214">
        <f>IF(ISERR(SUM(R34:T62)),0,SUM(R34:T62))</f>
        <v>0</v>
      </c>
      <c r="S64" s="214"/>
      <c r="T64" s="214"/>
      <c r="U64" s="211" t="str">
        <f>IF($AQ$18=0,"Units?",IF($AQ$18=1,"ac",IF($AQ$18=2,"sq-ft","Error")))</f>
        <v>Units?</v>
      </c>
      <c r="V64" s="211"/>
      <c r="X64" s="2" t="s">
        <v>350</v>
      </c>
      <c r="Y64" s="214">
        <f>IF(ISERR(SUM(Y34:AA62)),0,SUM(Y34:AA62))</f>
        <v>0</v>
      </c>
      <c r="Z64" s="214"/>
      <c r="AA64" s="214"/>
      <c r="AB64" s="211" t="str">
        <f>IF($AQ$18=0,"Units?",IF($AQ$18=1,"ac",IF($AQ$18=2,"sq-ft","Error")))</f>
        <v>Units?</v>
      </c>
      <c r="AC64" s="211"/>
      <c r="AR64" s="49"/>
      <c r="AS64" s="62"/>
      <c r="AT64" s="139"/>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49"/>
      <c r="BV64" s="49"/>
      <c r="BW64" s="49"/>
      <c r="BX64" s="49"/>
      <c r="BY64" s="49"/>
      <c r="BZ64" s="49"/>
      <c r="CA64" s="49"/>
      <c r="CB64" s="49"/>
      <c r="CC64" s="49"/>
      <c r="CD64" s="49"/>
      <c r="CE64" s="49"/>
      <c r="CF64" s="49"/>
      <c r="CG64" s="49"/>
      <c r="CH64" s="49"/>
      <c r="CI64" s="49"/>
      <c r="CJ64" s="49"/>
    </row>
    <row r="65" spans="2:88" ht="15" customHeight="1" x14ac:dyDescent="0.3">
      <c r="R65" s="215">
        <f>IF(ISERR(R64/$K64),0,R64/$K64)</f>
        <v>0</v>
      </c>
      <c r="S65" s="215"/>
      <c r="T65" s="215"/>
      <c r="U65" s="4" t="s">
        <v>336</v>
      </c>
      <c r="Y65" s="215">
        <f>IF(ISERR(Y64/$K64),0,Y64/$K64)</f>
        <v>0</v>
      </c>
      <c r="Z65" s="215"/>
      <c r="AA65" s="215"/>
      <c r="AB65" s="4" t="s">
        <v>336</v>
      </c>
      <c r="AR65" s="49"/>
      <c r="AS65" s="62"/>
      <c r="AT65" s="139"/>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49"/>
      <c r="BV65" s="49"/>
      <c r="BW65" s="49"/>
      <c r="BX65" s="49"/>
      <c r="BY65" s="49"/>
      <c r="BZ65" s="49"/>
      <c r="CA65" s="49"/>
      <c r="CB65" s="49"/>
      <c r="CC65" s="49"/>
      <c r="CD65" s="49"/>
      <c r="CE65" s="49"/>
      <c r="CF65" s="49"/>
      <c r="CG65" s="49"/>
      <c r="CH65" s="49"/>
      <c r="CI65" s="49"/>
      <c r="CJ65" s="49"/>
    </row>
    <row r="66" spans="2:88" ht="15" customHeight="1" x14ac:dyDescent="0.3">
      <c r="B66" s="167">
        <f>Tables!$C$13</f>
        <v>45566</v>
      </c>
      <c r="C66" s="167"/>
      <c r="D66" s="167"/>
      <c r="E66" s="167"/>
      <c r="F66" s="167"/>
      <c r="G66" s="167"/>
      <c r="H66" s="167"/>
      <c r="R66" s="189" t="s">
        <v>338</v>
      </c>
      <c r="S66" s="189"/>
      <c r="T66" s="189"/>
      <c r="U66" s="189"/>
      <c r="AR66" s="49"/>
      <c r="AS66" s="62"/>
      <c r="AT66" s="139"/>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49"/>
      <c r="BV66" s="49"/>
      <c r="BW66" s="49"/>
      <c r="BX66" s="49"/>
      <c r="BY66" s="49"/>
      <c r="BZ66" s="49"/>
      <c r="CA66" s="49"/>
      <c r="CB66" s="49"/>
      <c r="CC66" s="49"/>
      <c r="CD66" s="49"/>
      <c r="CE66" s="49"/>
      <c r="CF66" s="49"/>
      <c r="CG66" s="49"/>
      <c r="CH66" s="49"/>
      <c r="CI66" s="49"/>
      <c r="CJ66" s="49"/>
    </row>
    <row r="67" spans="2:88" ht="15" customHeight="1" x14ac:dyDescent="0.3">
      <c r="B67" s="148"/>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R67" s="49"/>
      <c r="AS67" s="62"/>
      <c r="AT67" s="139"/>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49"/>
      <c r="BV67" s="49"/>
      <c r="BW67" s="49"/>
      <c r="BX67" s="49"/>
      <c r="BY67" s="49"/>
      <c r="BZ67" s="49"/>
      <c r="CA67" s="49"/>
      <c r="CB67" s="49"/>
      <c r="CC67" s="49"/>
      <c r="CD67" s="49"/>
      <c r="CE67" s="49"/>
      <c r="CF67" s="49"/>
      <c r="CG67" s="49"/>
      <c r="CH67" s="49"/>
      <c r="CI67" s="49"/>
      <c r="CJ67" s="49"/>
    </row>
    <row r="68" spans="2:88" ht="15" customHeight="1" x14ac:dyDescent="0.3">
      <c r="C68" s="2" t="s">
        <v>145</v>
      </c>
      <c r="D68" s="171">
        <f>IF(ISBLANK($E$14),0,$E$14)</f>
        <v>0</v>
      </c>
      <c r="E68" s="171"/>
      <c r="F68" s="171"/>
      <c r="G68" s="171"/>
      <c r="H68" s="171"/>
      <c r="I68" s="171"/>
      <c r="J68" s="171"/>
      <c r="K68" s="171"/>
      <c r="L68" s="171"/>
      <c r="M68" s="171"/>
      <c r="N68" s="171"/>
      <c r="O68" s="171"/>
      <c r="P68" s="171"/>
      <c r="Q68" s="171"/>
      <c r="R68" s="171"/>
      <c r="S68" s="171"/>
      <c r="T68" s="171"/>
      <c r="U68" s="171"/>
      <c r="V68" s="171"/>
      <c r="W68" s="171"/>
      <c r="X68" s="171"/>
      <c r="Y68" s="171"/>
      <c r="AD68" s="2" t="s">
        <v>172</v>
      </c>
      <c r="AE68" s="172">
        <f>IF(ISBLANK($AE$14),0,$AE$14)</f>
        <v>0</v>
      </c>
      <c r="AF68" s="172"/>
      <c r="AG68" s="172"/>
      <c r="AH68" s="172"/>
      <c r="AI68" s="172"/>
      <c r="AJ68" s="172"/>
      <c r="AR68" s="49"/>
      <c r="AS68" s="62"/>
      <c r="AT68" s="139"/>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49"/>
      <c r="BV68" s="49"/>
      <c r="BW68" s="49"/>
      <c r="BX68" s="49"/>
      <c r="BY68" s="49"/>
      <c r="BZ68" s="49"/>
      <c r="CA68" s="49"/>
      <c r="CB68" s="49"/>
      <c r="CC68" s="49"/>
      <c r="CD68" s="49"/>
      <c r="CE68" s="49"/>
      <c r="CF68" s="49"/>
      <c r="CG68" s="49"/>
      <c r="CH68" s="49"/>
      <c r="CI68" s="49"/>
      <c r="CJ68" s="49"/>
    </row>
    <row r="69" spans="2:88" ht="15" customHeight="1" x14ac:dyDescent="0.3">
      <c r="B69" s="9"/>
      <c r="AR69" s="49"/>
      <c r="AS69" s="62"/>
      <c r="AT69" s="139"/>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49"/>
      <c r="BV69" s="49"/>
      <c r="BW69" s="49"/>
      <c r="BX69" s="49"/>
      <c r="BY69" s="49"/>
      <c r="BZ69" s="49"/>
      <c r="CA69" s="49"/>
      <c r="CB69" s="49"/>
      <c r="CC69" s="49"/>
      <c r="CD69" s="49"/>
      <c r="CE69" s="49"/>
      <c r="CF69" s="49"/>
      <c r="CG69" s="49"/>
      <c r="CH69" s="49"/>
      <c r="CI69" s="49"/>
      <c r="CJ69" s="49"/>
    </row>
    <row r="70" spans="2:88" ht="15" customHeight="1" x14ac:dyDescent="0.3">
      <c r="B70" s="9" t="s">
        <v>22</v>
      </c>
      <c r="AR70" s="49"/>
      <c r="AS70" s="62"/>
      <c r="AT70" s="139"/>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49"/>
      <c r="BV70" s="49"/>
      <c r="BW70" s="49"/>
      <c r="BX70" s="49"/>
      <c r="BY70" s="49"/>
      <c r="BZ70" s="49"/>
      <c r="CA70" s="49"/>
      <c r="CB70" s="49"/>
      <c r="CC70" s="49"/>
      <c r="CD70" s="49"/>
      <c r="CE70" s="49"/>
      <c r="CF70" s="49"/>
      <c r="CG70" s="49"/>
      <c r="CH70" s="49"/>
      <c r="CI70" s="49"/>
      <c r="CJ70" s="49"/>
    </row>
    <row r="71" spans="2:88" ht="15" customHeight="1" x14ac:dyDescent="0.3">
      <c r="B71" s="173"/>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5"/>
      <c r="AM71" s="119">
        <f>IF(SUM(AO24,AO26,AO28,AO30)&gt;0,2,1)</f>
        <v>1</v>
      </c>
      <c r="AR71" s="49"/>
      <c r="AS71" s="62"/>
      <c r="AT71" s="139"/>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49"/>
      <c r="BV71" s="49"/>
      <c r="BW71" s="49"/>
      <c r="BX71" s="49"/>
      <c r="BY71" s="49"/>
      <c r="BZ71" s="49"/>
      <c r="CA71" s="49"/>
      <c r="CB71" s="49"/>
      <c r="CC71" s="49"/>
      <c r="CD71" s="49"/>
      <c r="CE71" s="49"/>
      <c r="CF71" s="49"/>
      <c r="CG71" s="49"/>
      <c r="CH71" s="49"/>
      <c r="CI71" s="49"/>
      <c r="CJ71" s="49"/>
    </row>
    <row r="72" spans="2:88" ht="15" customHeight="1" x14ac:dyDescent="0.3">
      <c r="B72" s="176"/>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8"/>
      <c r="AR72" s="49"/>
      <c r="AS72" s="62"/>
      <c r="AT72" s="139"/>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49"/>
      <c r="BV72" s="49"/>
      <c r="BW72" s="49"/>
      <c r="BX72" s="49"/>
      <c r="BY72" s="49"/>
      <c r="BZ72" s="49"/>
      <c r="CA72" s="49"/>
      <c r="CB72" s="49"/>
      <c r="CC72" s="49"/>
      <c r="CD72" s="49"/>
      <c r="CE72" s="49"/>
      <c r="CF72" s="49"/>
      <c r="CG72" s="49"/>
      <c r="CH72" s="49"/>
      <c r="CI72" s="49"/>
      <c r="CJ72" s="49"/>
    </row>
    <row r="73" spans="2:88" ht="15" customHeight="1" x14ac:dyDescent="0.3">
      <c r="B73" s="176"/>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8"/>
      <c r="AR73" s="49"/>
      <c r="AS73" s="62"/>
      <c r="AT73" s="139"/>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49"/>
      <c r="BV73" s="49"/>
      <c r="BW73" s="49"/>
      <c r="BX73" s="49"/>
      <c r="BY73" s="49"/>
      <c r="BZ73" s="49"/>
      <c r="CA73" s="49"/>
      <c r="CB73" s="49"/>
      <c r="CC73" s="49"/>
      <c r="CD73" s="49"/>
      <c r="CE73" s="49"/>
      <c r="CF73" s="49"/>
      <c r="CG73" s="49"/>
      <c r="CH73" s="49"/>
      <c r="CI73" s="49"/>
      <c r="CJ73" s="49"/>
    </row>
    <row r="74" spans="2:88" ht="15" customHeight="1" x14ac:dyDescent="0.3">
      <c r="B74" s="176"/>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8"/>
      <c r="AR74" s="49"/>
      <c r="AS74" s="62"/>
      <c r="AT74" s="139"/>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49"/>
      <c r="BV74" s="49"/>
      <c r="BW74" s="49"/>
      <c r="BX74" s="49"/>
      <c r="BY74" s="49"/>
      <c r="BZ74" s="49"/>
      <c r="CA74" s="49"/>
      <c r="CB74" s="49"/>
      <c r="CC74" s="49"/>
      <c r="CD74" s="49"/>
      <c r="CE74" s="49"/>
      <c r="CF74" s="49"/>
      <c r="CG74" s="49"/>
      <c r="CH74" s="49"/>
      <c r="CI74" s="49"/>
      <c r="CJ74" s="49"/>
    </row>
    <row r="75" spans="2:88" ht="15" customHeight="1" x14ac:dyDescent="0.3">
      <c r="B75" s="176"/>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8"/>
      <c r="AR75" s="49"/>
      <c r="AS75" s="62"/>
      <c r="AT75" s="139"/>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49"/>
      <c r="BV75" s="49"/>
      <c r="BW75" s="49"/>
      <c r="BX75" s="49"/>
      <c r="BY75" s="49"/>
      <c r="BZ75" s="49"/>
      <c r="CA75" s="49"/>
      <c r="CB75" s="49"/>
      <c r="CC75" s="49"/>
      <c r="CD75" s="49"/>
      <c r="CE75" s="49"/>
      <c r="CF75" s="49"/>
      <c r="CG75" s="49"/>
      <c r="CH75" s="49"/>
      <c r="CI75" s="49"/>
      <c r="CJ75" s="49"/>
    </row>
    <row r="76" spans="2:88" ht="15" customHeight="1" x14ac:dyDescent="0.3">
      <c r="B76" s="179"/>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1"/>
      <c r="AR76" s="49"/>
      <c r="AS76" s="62"/>
      <c r="AT76" s="139"/>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49"/>
      <c r="BV76" s="49"/>
      <c r="BW76" s="49"/>
      <c r="BX76" s="49"/>
      <c r="BY76" s="49"/>
      <c r="BZ76" s="49"/>
      <c r="CA76" s="49"/>
      <c r="CB76" s="49"/>
      <c r="CC76" s="49"/>
      <c r="CD76" s="49"/>
      <c r="CE76" s="49"/>
      <c r="CF76" s="49"/>
      <c r="CG76" s="49"/>
      <c r="CH76" s="49"/>
      <c r="CI76" s="49"/>
      <c r="CJ76" s="49"/>
    </row>
    <row r="77" spans="2:88" ht="15" customHeight="1" x14ac:dyDescent="0.3">
      <c r="B77" s="9"/>
      <c r="AR77" s="49"/>
      <c r="AS77" s="62"/>
      <c r="AT77" s="139"/>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49"/>
      <c r="BV77" s="49"/>
      <c r="BW77" s="49"/>
      <c r="BX77" s="49"/>
      <c r="BY77" s="49"/>
      <c r="BZ77" s="49"/>
      <c r="CA77" s="49"/>
      <c r="CB77" s="49"/>
      <c r="CC77" s="49"/>
      <c r="CD77" s="49"/>
      <c r="CE77" s="49"/>
      <c r="CF77" s="49"/>
      <c r="CG77" s="49"/>
      <c r="CH77" s="49"/>
      <c r="CI77" s="49"/>
      <c r="CJ77" s="49"/>
    </row>
    <row r="78" spans="2:88" ht="15" customHeight="1" x14ac:dyDescent="0.3">
      <c r="B78" s="1" t="s">
        <v>19</v>
      </c>
      <c r="C78" s="1"/>
      <c r="D78" s="1"/>
      <c r="AR78" s="49"/>
      <c r="AS78" s="49"/>
      <c r="AT78" s="140"/>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row>
    <row r="79" spans="2:88" ht="4.95" customHeight="1" x14ac:dyDescent="0.3">
      <c r="B79" s="1"/>
      <c r="C79" s="1"/>
      <c r="D79" s="1"/>
      <c r="AR79" s="49"/>
      <c r="AS79" s="49"/>
      <c r="AT79" s="140"/>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row>
    <row r="80" spans="2:88" ht="15" customHeight="1" x14ac:dyDescent="0.3">
      <c r="B80" s="90" t="s">
        <v>387</v>
      </c>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R80" s="49"/>
      <c r="AS80" s="49"/>
      <c r="AT80" s="140"/>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row>
    <row r="81" spans="2:88" ht="15" customHeight="1" x14ac:dyDescent="0.3">
      <c r="B81" s="90" t="s">
        <v>386</v>
      </c>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R81" s="49"/>
      <c r="AS81" s="49"/>
      <c r="AT81" s="140"/>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row>
    <row r="82" spans="2:88" ht="15" customHeight="1" x14ac:dyDescent="0.3">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R82" s="49"/>
      <c r="AS82" s="49"/>
      <c r="AT82" s="140"/>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row>
    <row r="83" spans="2:88" ht="15" customHeight="1" x14ac:dyDescent="0.3">
      <c r="D83" s="2" t="s">
        <v>178</v>
      </c>
      <c r="E83" s="184"/>
      <c r="F83" s="184"/>
      <c r="G83" s="184"/>
      <c r="H83" s="184"/>
      <c r="I83" s="184"/>
      <c r="J83" s="184"/>
      <c r="K83" s="184"/>
      <c r="L83" s="184"/>
      <c r="M83" s="184"/>
      <c r="N83" s="184"/>
      <c r="O83" s="184"/>
      <c r="P83" s="184"/>
      <c r="Q83" s="184"/>
      <c r="R83" s="184"/>
      <c r="S83" s="184"/>
      <c r="T83" s="184"/>
      <c r="U83" s="184"/>
      <c r="V83" s="184"/>
      <c r="W83" s="184"/>
      <c r="X83" s="184"/>
      <c r="Y83" s="184"/>
      <c r="AB83" s="2" t="s">
        <v>252</v>
      </c>
      <c r="AC83" s="2"/>
      <c r="AD83" s="2"/>
      <c r="AE83" s="2"/>
      <c r="AR83" s="49"/>
      <c r="AS83" s="49"/>
      <c r="AT83" s="140"/>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row>
    <row r="84" spans="2:88" ht="15" customHeight="1" x14ac:dyDescent="0.3">
      <c r="D84" s="2" t="s">
        <v>145</v>
      </c>
      <c r="E84" s="185"/>
      <c r="F84" s="185"/>
      <c r="G84" s="185"/>
      <c r="H84" s="185"/>
      <c r="I84" s="185"/>
      <c r="J84" s="185"/>
      <c r="K84" s="185"/>
      <c r="L84" s="185"/>
      <c r="M84" s="185"/>
      <c r="N84" s="185"/>
      <c r="O84" s="185"/>
      <c r="P84" s="185"/>
      <c r="Q84" s="185"/>
      <c r="R84" s="185"/>
      <c r="S84" s="185"/>
      <c r="T84" s="185"/>
      <c r="U84" s="185"/>
      <c r="V84" s="185"/>
      <c r="W84" s="185"/>
      <c r="X84" s="185"/>
      <c r="Y84" s="185"/>
      <c r="AR84" s="49"/>
      <c r="AS84" s="49"/>
      <c r="AT84" s="140"/>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c r="CA84" s="49"/>
      <c r="CB84" s="49"/>
      <c r="CC84" s="49"/>
      <c r="CD84" s="49"/>
      <c r="CE84" s="49"/>
      <c r="CF84" s="49"/>
      <c r="CG84" s="49"/>
      <c r="CH84" s="49"/>
      <c r="CI84" s="49"/>
      <c r="CJ84" s="49"/>
    </row>
    <row r="85" spans="2:88" ht="15" customHeight="1" x14ac:dyDescent="0.3">
      <c r="D85" s="2" t="s">
        <v>146</v>
      </c>
      <c r="E85" s="185"/>
      <c r="F85" s="185"/>
      <c r="G85" s="185"/>
      <c r="H85" s="185"/>
      <c r="I85" s="185"/>
      <c r="J85" s="185"/>
      <c r="K85" s="185"/>
      <c r="L85" s="185"/>
      <c r="M85" s="185"/>
      <c r="N85" s="185"/>
      <c r="O85" s="185"/>
      <c r="P85" s="185"/>
      <c r="Q85" s="185"/>
      <c r="R85" s="185"/>
      <c r="S85" s="185"/>
      <c r="T85" s="185"/>
      <c r="U85" s="185"/>
      <c r="V85" s="185"/>
      <c r="W85" s="185"/>
      <c r="X85" s="185"/>
      <c r="Y85" s="185"/>
      <c r="AR85" s="49"/>
      <c r="AS85" s="49"/>
      <c r="AT85" s="140"/>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row>
    <row r="86" spans="2:88" ht="15" customHeight="1" x14ac:dyDescent="0.3">
      <c r="D86" s="2" t="s">
        <v>225</v>
      </c>
      <c r="E86" s="185"/>
      <c r="F86" s="185"/>
      <c r="G86" s="185"/>
      <c r="H86" s="185"/>
      <c r="I86" s="185"/>
      <c r="J86" s="185"/>
      <c r="K86" s="185"/>
      <c r="L86" s="73"/>
      <c r="M86" s="73"/>
      <c r="N86" s="129" t="s">
        <v>149</v>
      </c>
      <c r="O86" s="185"/>
      <c r="P86" s="185"/>
      <c r="Q86" s="185"/>
      <c r="R86" s="185"/>
      <c r="S86" s="73"/>
      <c r="T86" s="73"/>
      <c r="U86" s="73"/>
      <c r="V86" s="129" t="s">
        <v>150</v>
      </c>
      <c r="W86" s="183"/>
      <c r="X86" s="183"/>
      <c r="Y86" s="183"/>
      <c r="AR86" s="49"/>
      <c r="AS86" s="49"/>
      <c r="AT86" s="140"/>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c r="BZ86" s="49"/>
      <c r="CA86" s="49"/>
      <c r="CB86" s="49"/>
      <c r="CC86" s="49"/>
      <c r="CD86" s="49"/>
      <c r="CE86" s="49"/>
      <c r="CF86" s="49"/>
      <c r="CG86" s="49"/>
      <c r="CH86" s="49"/>
      <c r="CI86" s="49"/>
      <c r="CJ86" s="49"/>
    </row>
    <row r="87" spans="2:88" ht="15" customHeight="1" x14ac:dyDescent="0.3">
      <c r="C87" s="75"/>
      <c r="D87" s="2" t="s">
        <v>147</v>
      </c>
      <c r="E87" s="186"/>
      <c r="F87" s="186"/>
      <c r="G87" s="186"/>
      <c r="H87" s="186"/>
      <c r="I87" s="186"/>
      <c r="J87" s="186"/>
      <c r="K87" s="186"/>
      <c r="L87" s="186"/>
      <c r="M87" s="186"/>
      <c r="N87" s="186"/>
      <c r="O87" s="186"/>
      <c r="P87" s="186"/>
      <c r="Q87" s="186"/>
      <c r="R87" s="186"/>
      <c r="S87" s="186"/>
      <c r="T87" s="186"/>
      <c r="U87" s="186"/>
      <c r="V87" s="186"/>
      <c r="W87" s="186"/>
      <c r="X87" s="186"/>
      <c r="Y87" s="186"/>
      <c r="AR87" s="49"/>
      <c r="AS87" s="49"/>
      <c r="AT87" s="140"/>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row>
    <row r="88" spans="2:88" ht="15" customHeight="1" x14ac:dyDescent="0.3">
      <c r="D88" s="2" t="s">
        <v>151</v>
      </c>
      <c r="E88" s="182"/>
      <c r="F88" s="182"/>
      <c r="G88" s="182"/>
      <c r="H88" s="182"/>
      <c r="I88" s="182"/>
      <c r="U88" s="65"/>
      <c r="V88" s="65"/>
      <c r="W88" s="65"/>
      <c r="AR88" s="49"/>
      <c r="AS88" s="49"/>
      <c r="AT88" s="140"/>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row>
    <row r="89" spans="2:88" ht="15" customHeight="1" x14ac:dyDescent="0.3">
      <c r="D89" s="2"/>
      <c r="E89" s="73"/>
      <c r="F89" s="73"/>
      <c r="G89" s="73"/>
      <c r="H89" s="73"/>
      <c r="I89" s="73"/>
      <c r="U89" s="65"/>
      <c r="V89" s="65"/>
      <c r="W89" s="65"/>
      <c r="AR89" s="49"/>
      <c r="AS89" s="49"/>
      <c r="AT89" s="140"/>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row>
    <row r="90" spans="2:88" ht="15" customHeight="1" x14ac:dyDescent="0.3">
      <c r="D90" s="2" t="s">
        <v>179</v>
      </c>
      <c r="E90" s="87"/>
      <c r="F90" s="87"/>
      <c r="G90" s="87"/>
      <c r="H90" s="87"/>
      <c r="I90" s="87"/>
      <c r="J90" s="87"/>
      <c r="K90" s="87"/>
      <c r="L90" s="87"/>
      <c r="M90" s="87"/>
      <c r="N90" s="87"/>
      <c r="O90" s="87"/>
      <c r="P90" s="87"/>
      <c r="Q90" s="87"/>
      <c r="R90" s="87"/>
      <c r="S90" s="87"/>
      <c r="T90" s="87"/>
      <c r="U90" s="65"/>
      <c r="V90" s="65"/>
      <c r="W90" s="65"/>
      <c r="AB90" s="2" t="s">
        <v>172</v>
      </c>
      <c r="AC90" s="190"/>
      <c r="AD90" s="190"/>
      <c r="AE90" s="190"/>
      <c r="AF90" s="190"/>
      <c r="AG90" s="190"/>
      <c r="AR90" s="49"/>
      <c r="AS90" s="49"/>
      <c r="AT90" s="140"/>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row>
    <row r="91" spans="2:88" ht="15" customHeight="1" x14ac:dyDescent="0.3">
      <c r="AR91" s="49"/>
      <c r="AS91" s="49"/>
      <c r="AT91" s="140"/>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49"/>
      <c r="CD91" s="49"/>
      <c r="CE91" s="49"/>
      <c r="CF91" s="49"/>
      <c r="CG91" s="49"/>
      <c r="CH91" s="49"/>
      <c r="CI91" s="49"/>
      <c r="CJ91" s="49"/>
    </row>
    <row r="92" spans="2:88" ht="15" customHeight="1" x14ac:dyDescent="0.3">
      <c r="AR92" s="49"/>
      <c r="AS92" s="49"/>
      <c r="AT92" s="140"/>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row>
    <row r="93" spans="2:88" ht="15" customHeight="1" x14ac:dyDescent="0.3">
      <c r="AR93" s="49"/>
      <c r="AS93" s="49"/>
      <c r="AT93" s="140"/>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row>
    <row r="94" spans="2:88" ht="15" customHeight="1" x14ac:dyDescent="0.3">
      <c r="AR94" s="49"/>
      <c r="AS94" s="49"/>
      <c r="AT94" s="140"/>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row>
    <row r="95" spans="2:88" ht="15" customHeight="1" x14ac:dyDescent="0.3">
      <c r="AR95" s="49"/>
      <c r="AS95" s="49"/>
      <c r="AT95" s="140"/>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row>
    <row r="96" spans="2:88" ht="15" customHeight="1" x14ac:dyDescent="0.3">
      <c r="AR96" s="49"/>
      <c r="AS96" s="49"/>
      <c r="AT96" s="140"/>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c r="CE96" s="49"/>
      <c r="CF96" s="49"/>
      <c r="CG96" s="49"/>
      <c r="CH96" s="49"/>
      <c r="CI96" s="49"/>
      <c r="CJ96" s="49"/>
    </row>
    <row r="97" spans="44:88" ht="15" customHeight="1" x14ac:dyDescent="0.3">
      <c r="AR97" s="49"/>
      <c r="AS97" s="49"/>
      <c r="AT97" s="140"/>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c r="BV97" s="49"/>
      <c r="BW97" s="49"/>
      <c r="BX97" s="49"/>
      <c r="BY97" s="49"/>
      <c r="BZ97" s="49"/>
      <c r="CA97" s="49"/>
      <c r="CB97" s="49"/>
      <c r="CC97" s="49"/>
      <c r="CD97" s="49"/>
      <c r="CE97" s="49"/>
      <c r="CF97" s="49"/>
      <c r="CG97" s="49"/>
      <c r="CH97" s="49"/>
      <c r="CI97" s="49"/>
      <c r="CJ97" s="49"/>
    </row>
    <row r="98" spans="44:88" ht="15" customHeight="1" x14ac:dyDescent="0.3">
      <c r="AR98" s="49"/>
      <c r="AS98" s="49"/>
      <c r="AT98" s="140"/>
      <c r="AU98" s="49"/>
      <c r="AV98" s="49"/>
      <c r="AW98" s="49"/>
      <c r="AX98" s="49"/>
      <c r="AY98" s="49"/>
      <c r="AZ98" s="49"/>
      <c r="BA98" s="49"/>
      <c r="BB98" s="49"/>
      <c r="BC98" s="49"/>
      <c r="BD98" s="49"/>
      <c r="BE98" s="49"/>
      <c r="BF98" s="49"/>
      <c r="BG98" s="49"/>
      <c r="BH98" s="49"/>
      <c r="BI98" s="49"/>
      <c r="BJ98" s="49"/>
      <c r="BK98" s="49"/>
      <c r="BL98" s="49"/>
      <c r="BM98" s="49"/>
      <c r="BN98" s="49"/>
      <c r="BO98" s="49"/>
      <c r="BP98" s="49"/>
      <c r="BQ98" s="49"/>
      <c r="BR98" s="49"/>
      <c r="BS98" s="49"/>
      <c r="BT98" s="49"/>
      <c r="BU98" s="49"/>
      <c r="BV98" s="49"/>
      <c r="BW98" s="49"/>
      <c r="BX98" s="49"/>
      <c r="BY98" s="49"/>
      <c r="BZ98" s="49"/>
      <c r="CA98" s="49"/>
      <c r="CB98" s="49"/>
      <c r="CC98" s="49"/>
      <c r="CD98" s="49"/>
      <c r="CE98" s="49"/>
      <c r="CF98" s="49"/>
      <c r="CG98" s="49"/>
      <c r="CH98" s="49"/>
      <c r="CI98" s="49"/>
      <c r="CJ98" s="49"/>
    </row>
    <row r="99" spans="44:88" ht="15" customHeight="1" x14ac:dyDescent="0.3">
      <c r="AR99" s="49"/>
      <c r="AS99" s="49"/>
      <c r="AT99" s="140"/>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49"/>
      <c r="CA99" s="49"/>
      <c r="CB99" s="49"/>
      <c r="CC99" s="49"/>
      <c r="CD99" s="49"/>
      <c r="CE99" s="49"/>
      <c r="CF99" s="49"/>
      <c r="CG99" s="49"/>
      <c r="CH99" s="49"/>
      <c r="CI99" s="49"/>
      <c r="CJ99" s="49"/>
    </row>
    <row r="100" spans="44:88" ht="15" customHeight="1" x14ac:dyDescent="0.3">
      <c r="AR100" s="49"/>
      <c r="AS100" s="49"/>
      <c r="AT100" s="140"/>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c r="CA100" s="49"/>
      <c r="CB100" s="49"/>
      <c r="CC100" s="49"/>
      <c r="CD100" s="49"/>
      <c r="CE100" s="49"/>
      <c r="CF100" s="49"/>
      <c r="CG100" s="49"/>
      <c r="CH100" s="49"/>
      <c r="CI100" s="49"/>
      <c r="CJ100" s="49"/>
    </row>
    <row r="101" spans="44:88" ht="15" customHeight="1" x14ac:dyDescent="0.3">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c r="CE101" s="49"/>
      <c r="CF101" s="49"/>
      <c r="CG101" s="49"/>
      <c r="CH101" s="49"/>
      <c r="CI101" s="49"/>
      <c r="CJ101" s="49"/>
    </row>
    <row r="102" spans="44:88" ht="15" customHeight="1" x14ac:dyDescent="0.3">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c r="BP102" s="49"/>
      <c r="BQ102" s="49"/>
      <c r="BR102" s="49"/>
      <c r="BS102" s="49"/>
      <c r="BT102" s="49"/>
      <c r="BU102" s="49"/>
      <c r="BV102" s="49"/>
      <c r="BW102" s="49"/>
      <c r="BX102" s="49"/>
      <c r="BY102" s="49"/>
      <c r="BZ102" s="49"/>
      <c r="CA102" s="49"/>
      <c r="CB102" s="49"/>
      <c r="CC102" s="49"/>
      <c r="CD102" s="49"/>
      <c r="CE102" s="49"/>
      <c r="CF102" s="49"/>
      <c r="CG102" s="49"/>
      <c r="CH102" s="49"/>
      <c r="CI102" s="49"/>
      <c r="CJ102" s="49"/>
    </row>
    <row r="103" spans="44:88" ht="15" customHeight="1" x14ac:dyDescent="0.3">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c r="BV103" s="49"/>
      <c r="BW103" s="49"/>
      <c r="BX103" s="49"/>
      <c r="BY103" s="49"/>
      <c r="BZ103" s="49"/>
      <c r="CA103" s="49"/>
      <c r="CB103" s="49"/>
      <c r="CC103" s="49"/>
      <c r="CD103" s="49"/>
      <c r="CE103" s="49"/>
      <c r="CF103" s="49"/>
      <c r="CG103" s="49"/>
      <c r="CH103" s="49"/>
      <c r="CI103" s="49"/>
      <c r="CJ103" s="49"/>
    </row>
    <row r="104" spans="44:88" ht="15" customHeight="1" x14ac:dyDescent="0.3">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row>
    <row r="105" spans="44:88" ht="15" customHeight="1" x14ac:dyDescent="0.3">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c r="CE105" s="49"/>
      <c r="CF105" s="49"/>
      <c r="CG105" s="49"/>
      <c r="CH105" s="49"/>
      <c r="CI105" s="49"/>
      <c r="CJ105" s="49"/>
    </row>
    <row r="106" spans="44:88" ht="15" customHeight="1" x14ac:dyDescent="0.3">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49"/>
      <c r="BN106" s="49"/>
      <c r="BO106" s="49"/>
      <c r="BP106" s="49"/>
      <c r="BQ106" s="49"/>
      <c r="BR106" s="49"/>
      <c r="BS106" s="49"/>
      <c r="BT106" s="49"/>
      <c r="BU106" s="49"/>
      <c r="BV106" s="49"/>
      <c r="BW106" s="49"/>
      <c r="BX106" s="49"/>
      <c r="BY106" s="49"/>
      <c r="BZ106" s="49"/>
      <c r="CA106" s="49"/>
      <c r="CB106" s="49"/>
      <c r="CC106" s="49"/>
      <c r="CD106" s="49"/>
      <c r="CE106" s="49"/>
      <c r="CF106" s="49"/>
      <c r="CG106" s="49"/>
      <c r="CH106" s="49"/>
      <c r="CI106" s="49"/>
      <c r="CJ106" s="49"/>
    </row>
    <row r="107" spans="44:88" ht="15" customHeight="1" x14ac:dyDescent="0.3">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49"/>
      <c r="BN107" s="49"/>
      <c r="BO107" s="49"/>
      <c r="BP107" s="49"/>
      <c r="BQ107" s="49"/>
      <c r="BR107" s="49"/>
      <c r="BS107" s="49"/>
      <c r="BT107" s="49"/>
      <c r="BU107" s="49"/>
      <c r="BV107" s="49"/>
      <c r="BW107" s="49"/>
      <c r="BX107" s="49"/>
      <c r="BY107" s="49"/>
      <c r="BZ107" s="49"/>
      <c r="CA107" s="49"/>
      <c r="CB107" s="49"/>
      <c r="CC107" s="49"/>
      <c r="CD107" s="49"/>
      <c r="CE107" s="49"/>
      <c r="CF107" s="49"/>
      <c r="CG107" s="49"/>
      <c r="CH107" s="49"/>
      <c r="CI107" s="49"/>
      <c r="CJ107" s="49"/>
    </row>
    <row r="108" spans="44:88" ht="15" customHeight="1" x14ac:dyDescent="0.3">
      <c r="AR108" s="49"/>
      <c r="AS108" s="49"/>
      <c r="AT108" s="49"/>
      <c r="AU108" s="49"/>
      <c r="AV108" s="49"/>
      <c r="AW108" s="49"/>
      <c r="AX108" s="49"/>
      <c r="AY108" s="49"/>
      <c r="AZ108" s="49"/>
      <c r="BA108" s="49"/>
      <c r="BB108" s="49"/>
      <c r="BC108" s="49"/>
      <c r="BD108" s="49"/>
      <c r="BE108" s="49"/>
      <c r="BF108" s="49"/>
      <c r="BG108" s="49"/>
      <c r="BH108" s="49"/>
      <c r="BI108" s="49"/>
      <c r="BJ108" s="49"/>
      <c r="BK108" s="49"/>
      <c r="BL108" s="49"/>
      <c r="BM108" s="49"/>
      <c r="BN108" s="49"/>
      <c r="BO108" s="49"/>
      <c r="BP108" s="49"/>
      <c r="BQ108" s="49"/>
      <c r="BR108" s="49"/>
      <c r="BS108" s="49"/>
      <c r="BT108" s="49"/>
      <c r="BU108" s="49"/>
      <c r="BV108" s="49"/>
      <c r="BW108" s="49"/>
      <c r="BX108" s="49"/>
      <c r="BY108" s="49"/>
      <c r="BZ108" s="49"/>
      <c r="CA108" s="49"/>
      <c r="CB108" s="49"/>
      <c r="CC108" s="49"/>
      <c r="CD108" s="49"/>
      <c r="CE108" s="49"/>
      <c r="CF108" s="49"/>
      <c r="CG108" s="49"/>
      <c r="CH108" s="49"/>
      <c r="CI108" s="49"/>
      <c r="CJ108" s="49"/>
    </row>
    <row r="109" spans="44:88" ht="15" customHeight="1" x14ac:dyDescent="0.3">
      <c r="AR109" s="49"/>
      <c r="AS109" s="49"/>
      <c r="AT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c r="BP109" s="49"/>
      <c r="BQ109" s="49"/>
      <c r="BR109" s="49"/>
      <c r="BS109" s="49"/>
      <c r="BT109" s="49"/>
      <c r="BU109" s="49"/>
      <c r="BV109" s="49"/>
      <c r="BW109" s="49"/>
      <c r="BX109" s="49"/>
      <c r="BY109" s="49"/>
      <c r="BZ109" s="49"/>
      <c r="CA109" s="49"/>
      <c r="CB109" s="49"/>
      <c r="CC109" s="49"/>
      <c r="CD109" s="49"/>
      <c r="CE109" s="49"/>
      <c r="CF109" s="49"/>
      <c r="CG109" s="49"/>
      <c r="CH109" s="49"/>
      <c r="CI109" s="49"/>
      <c r="CJ109" s="49"/>
    </row>
    <row r="110" spans="44:88" ht="15" customHeight="1" x14ac:dyDescent="0.3">
      <c r="AR110" s="49"/>
      <c r="AS110" s="49"/>
      <c r="AT110" s="49"/>
      <c r="AU110" s="49"/>
      <c r="AV110" s="49"/>
      <c r="AW110" s="49"/>
      <c r="AX110" s="49"/>
      <c r="AY110" s="49"/>
      <c r="AZ110" s="49"/>
      <c r="BA110" s="49"/>
      <c r="BB110" s="49"/>
      <c r="BC110" s="49"/>
      <c r="BD110" s="49"/>
      <c r="BE110" s="49"/>
      <c r="BF110" s="49"/>
      <c r="BG110" s="49"/>
      <c r="BH110" s="49"/>
      <c r="BI110" s="49"/>
      <c r="BJ110" s="49"/>
      <c r="BK110" s="49"/>
      <c r="BL110" s="49"/>
      <c r="BM110" s="49"/>
      <c r="BN110" s="49"/>
      <c r="BO110" s="49"/>
      <c r="BP110" s="49"/>
      <c r="BQ110" s="49"/>
      <c r="BR110" s="49"/>
      <c r="BS110" s="49"/>
      <c r="BT110" s="49"/>
      <c r="BU110" s="49"/>
      <c r="BV110" s="49"/>
      <c r="BW110" s="49"/>
      <c r="BX110" s="49"/>
      <c r="BY110" s="49"/>
      <c r="BZ110" s="49"/>
      <c r="CA110" s="49"/>
      <c r="CB110" s="49"/>
      <c r="CC110" s="49"/>
      <c r="CD110" s="49"/>
      <c r="CE110" s="49"/>
      <c r="CF110" s="49"/>
      <c r="CG110" s="49"/>
      <c r="CH110" s="49"/>
      <c r="CI110" s="49"/>
      <c r="CJ110" s="49"/>
    </row>
    <row r="111" spans="44:88" ht="15" customHeight="1" x14ac:dyDescent="0.3">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49"/>
      <c r="BY111" s="49"/>
      <c r="BZ111" s="49"/>
      <c r="CA111" s="49"/>
      <c r="CB111" s="49"/>
      <c r="CC111" s="49"/>
      <c r="CD111" s="49"/>
      <c r="CE111" s="49"/>
      <c r="CF111" s="49"/>
      <c r="CG111" s="49"/>
      <c r="CH111" s="49"/>
      <c r="CI111" s="49"/>
      <c r="CJ111" s="49"/>
    </row>
    <row r="112" spans="44:88" ht="15" customHeight="1" x14ac:dyDescent="0.3">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c r="CE112" s="49"/>
      <c r="CF112" s="49"/>
      <c r="CG112" s="49"/>
      <c r="CH112" s="49"/>
      <c r="CI112" s="49"/>
      <c r="CJ112" s="49"/>
    </row>
    <row r="113" spans="2:88" ht="15" customHeight="1" x14ac:dyDescent="0.3">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c r="CE113" s="49"/>
      <c r="CF113" s="49"/>
      <c r="CG113" s="49"/>
      <c r="CH113" s="49"/>
      <c r="CI113" s="49"/>
      <c r="CJ113" s="49"/>
    </row>
    <row r="114" spans="2:88" ht="15" customHeight="1" x14ac:dyDescent="0.3">
      <c r="B114" s="167">
        <f>Tables!$C$13</f>
        <v>45566</v>
      </c>
      <c r="C114" s="167"/>
      <c r="D114" s="167"/>
      <c r="E114" s="167"/>
      <c r="F114" s="167"/>
      <c r="G114" s="167"/>
      <c r="H114" s="167"/>
      <c r="R114" s="189" t="s">
        <v>339</v>
      </c>
      <c r="S114" s="189"/>
      <c r="T114" s="189"/>
      <c r="U114" s="189"/>
      <c r="AR114" s="49"/>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c r="CE114" s="49"/>
      <c r="CF114" s="49"/>
      <c r="CG114" s="49"/>
      <c r="CH114" s="49"/>
      <c r="CI114" s="49"/>
      <c r="CJ114" s="49"/>
    </row>
    <row r="115" spans="2:88" ht="15" customHeight="1" x14ac:dyDescent="0.3">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c r="CE115" s="49"/>
      <c r="CF115" s="49"/>
      <c r="CG115" s="49"/>
      <c r="CH115" s="49"/>
      <c r="CI115" s="49"/>
      <c r="CJ115" s="49"/>
    </row>
    <row r="116" spans="2:88" ht="15" customHeight="1" x14ac:dyDescent="0.3">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c r="CE116" s="49"/>
      <c r="CF116" s="49"/>
      <c r="CG116" s="49"/>
      <c r="CH116" s="49"/>
      <c r="CI116" s="49"/>
      <c r="CJ116" s="49"/>
    </row>
    <row r="117" spans="2:88" ht="15" customHeight="1" x14ac:dyDescent="0.3">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c r="CE117" s="49"/>
      <c r="CF117" s="49"/>
      <c r="CG117" s="49"/>
      <c r="CH117" s="49"/>
      <c r="CI117" s="49"/>
      <c r="CJ117" s="49"/>
    </row>
  </sheetData>
  <sheetProtection algorithmName="SHA-512" hashValue="nVKZhN3HGIW3gGX/bDKUU+KoXlkp5FG7n3e3Z4Auorj1jRviMF/x4hnbI0hjv6YwoipPDdcZRxTwPKHwWrRZvA==" saltValue="H/Sbn3JTe97xp8aszbTogg==" spinCount="100000" sheet="1" objects="1" scenarios="1" selectLockedCells="1"/>
  <mergeCells count="154">
    <mergeCell ref="B33:D33"/>
    <mergeCell ref="F33:H33"/>
    <mergeCell ref="F34:H34"/>
    <mergeCell ref="F36:H36"/>
    <mergeCell ref="F38:H38"/>
    <mergeCell ref="F40:H40"/>
    <mergeCell ref="F42:H42"/>
    <mergeCell ref="F44:H44"/>
    <mergeCell ref="R36:T36"/>
    <mergeCell ref="R34:T34"/>
    <mergeCell ref="K44:M44"/>
    <mergeCell ref="K42:M42"/>
    <mergeCell ref="K40:M40"/>
    <mergeCell ref="K38:M38"/>
    <mergeCell ref="N44:O44"/>
    <mergeCell ref="N42:O42"/>
    <mergeCell ref="N38:O38"/>
    <mergeCell ref="R40:T40"/>
    <mergeCell ref="R38:T38"/>
    <mergeCell ref="Y42:AA42"/>
    <mergeCell ref="Y40:AA40"/>
    <mergeCell ref="Y38:AA38"/>
    <mergeCell ref="Y36:AA36"/>
    <mergeCell ref="K34:M34"/>
    <mergeCell ref="K33:M33"/>
    <mergeCell ref="R33:T33"/>
    <mergeCell ref="U34:V34"/>
    <mergeCell ref="F46:H46"/>
    <mergeCell ref="R44:T44"/>
    <mergeCell ref="R42:T42"/>
    <mergeCell ref="Y34:AA34"/>
    <mergeCell ref="U42:V42"/>
    <mergeCell ref="U44:V44"/>
    <mergeCell ref="U38:V38"/>
    <mergeCell ref="Y44:AA44"/>
    <mergeCell ref="BD1:BZ4"/>
    <mergeCell ref="AR6:BF7"/>
    <mergeCell ref="E7:X7"/>
    <mergeCell ref="AE7:AJ7"/>
    <mergeCell ref="F11:AJ11"/>
    <mergeCell ref="E14:Y14"/>
    <mergeCell ref="AE14:AJ14"/>
    <mergeCell ref="E15:Y15"/>
    <mergeCell ref="AE15:AJ15"/>
    <mergeCell ref="E16:K16"/>
    <mergeCell ref="O16:R16"/>
    <mergeCell ref="W16:Y16"/>
    <mergeCell ref="AE16:AJ16"/>
    <mergeCell ref="N1:AK4"/>
    <mergeCell ref="N36:O36"/>
    <mergeCell ref="U36:V36"/>
    <mergeCell ref="N34:O34"/>
    <mergeCell ref="N40:O40"/>
    <mergeCell ref="U40:V40"/>
    <mergeCell ref="AB34:AC34"/>
    <mergeCell ref="AB36:AC36"/>
    <mergeCell ref="AB38:AC38"/>
    <mergeCell ref="AB40:AC40"/>
    <mergeCell ref="K32:M32"/>
    <mergeCell ref="F48:H48"/>
    <mergeCell ref="F50:H50"/>
    <mergeCell ref="K64:M64"/>
    <mergeCell ref="N64:O64"/>
    <mergeCell ref="E17:Y17"/>
    <mergeCell ref="E18:Y18"/>
    <mergeCell ref="AE18:AJ18"/>
    <mergeCell ref="AH22:AI22"/>
    <mergeCell ref="AH20:AI20"/>
    <mergeCell ref="Y62:AA62"/>
    <mergeCell ref="Y60:AA60"/>
    <mergeCell ref="Y58:AA58"/>
    <mergeCell ref="Y56:AA56"/>
    <mergeCell ref="Y54:AA54"/>
    <mergeCell ref="Y52:AA52"/>
    <mergeCell ref="Y50:AA50"/>
    <mergeCell ref="Y48:AA48"/>
    <mergeCell ref="Y46:AA46"/>
    <mergeCell ref="Y33:AA33"/>
    <mergeCell ref="U64:V64"/>
    <mergeCell ref="R64:T64"/>
    <mergeCell ref="K36:M36"/>
    <mergeCell ref="F52:H52"/>
    <mergeCell ref="K52:M52"/>
    <mergeCell ref="K50:M50"/>
    <mergeCell ref="K48:M48"/>
    <mergeCell ref="K46:M46"/>
    <mergeCell ref="R52:T52"/>
    <mergeCell ref="R50:T50"/>
    <mergeCell ref="R48:T48"/>
    <mergeCell ref="U50:V50"/>
    <mergeCell ref="N52:O52"/>
    <mergeCell ref="U52:V52"/>
    <mergeCell ref="N50:O50"/>
    <mergeCell ref="N48:O48"/>
    <mergeCell ref="U48:V48"/>
    <mergeCell ref="N46:O46"/>
    <mergeCell ref="U46:V46"/>
    <mergeCell ref="R46:T46"/>
    <mergeCell ref="N56:O56"/>
    <mergeCell ref="U56:V56"/>
    <mergeCell ref="N54:O54"/>
    <mergeCell ref="U54:V54"/>
    <mergeCell ref="F54:H54"/>
    <mergeCell ref="F56:H56"/>
    <mergeCell ref="F58:H58"/>
    <mergeCell ref="K58:M58"/>
    <mergeCell ref="K56:M56"/>
    <mergeCell ref="K54:M54"/>
    <mergeCell ref="R58:T58"/>
    <mergeCell ref="R56:T56"/>
    <mergeCell ref="R54:T54"/>
    <mergeCell ref="U58:V58"/>
    <mergeCell ref="N60:O60"/>
    <mergeCell ref="U60:V60"/>
    <mergeCell ref="N58:O58"/>
    <mergeCell ref="R60:T60"/>
    <mergeCell ref="B71:AJ76"/>
    <mergeCell ref="B66:H66"/>
    <mergeCell ref="R66:U66"/>
    <mergeCell ref="D68:Y68"/>
    <mergeCell ref="AE68:AJ68"/>
    <mergeCell ref="N62:O62"/>
    <mergeCell ref="U62:V62"/>
    <mergeCell ref="F60:H60"/>
    <mergeCell ref="F62:H62"/>
    <mergeCell ref="K62:M62"/>
    <mergeCell ref="K60:M60"/>
    <mergeCell ref="R62:T62"/>
    <mergeCell ref="Y64:AA64"/>
    <mergeCell ref="AB60:AC60"/>
    <mergeCell ref="AB62:AC62"/>
    <mergeCell ref="AB64:AC64"/>
    <mergeCell ref="R65:T65"/>
    <mergeCell ref="Y65:AA65"/>
    <mergeCell ref="E87:Y87"/>
    <mergeCell ref="E88:I88"/>
    <mergeCell ref="AC90:AG90"/>
    <mergeCell ref="B114:H114"/>
    <mergeCell ref="R114:U114"/>
    <mergeCell ref="E83:Y83"/>
    <mergeCell ref="E84:Y84"/>
    <mergeCell ref="E85:Y85"/>
    <mergeCell ref="E86:K86"/>
    <mergeCell ref="O86:R86"/>
    <mergeCell ref="W86:Y86"/>
    <mergeCell ref="AB42:AC42"/>
    <mergeCell ref="AB44:AC44"/>
    <mergeCell ref="AB46:AC46"/>
    <mergeCell ref="AB48:AC48"/>
    <mergeCell ref="AB50:AC50"/>
    <mergeCell ref="AB52:AC52"/>
    <mergeCell ref="AB54:AC54"/>
    <mergeCell ref="AB56:AC56"/>
    <mergeCell ref="AB58:AC58"/>
  </mergeCells>
  <conditionalFormatting sqref="B26">
    <cfRule type="expression" dxfId="164" priority="844">
      <formula>$AP$26=3</formula>
    </cfRule>
    <cfRule type="expression" dxfId="163" priority="846">
      <formula>$AN$26=2</formula>
    </cfRule>
    <cfRule type="expression" dxfId="162" priority="845">
      <formula>$AM$26=1</formula>
    </cfRule>
  </conditionalFormatting>
  <conditionalFormatting sqref="B28">
    <cfRule type="expression" dxfId="161" priority="849">
      <formula>$AN$28=2</formula>
    </cfRule>
    <cfRule type="expression" dxfId="160" priority="848">
      <formula>$AM$28=1</formula>
    </cfRule>
    <cfRule type="expression" dxfId="159" priority="847">
      <formula>$AP$28=3</formula>
    </cfRule>
  </conditionalFormatting>
  <conditionalFormatting sqref="B30">
    <cfRule type="expression" dxfId="158" priority="852">
      <formula>$AN$30=2</formula>
    </cfRule>
    <cfRule type="expression" dxfId="157" priority="851">
      <formula>$AM$30=1</formula>
    </cfRule>
    <cfRule type="expression" dxfId="156" priority="850">
      <formula>$AP$30=3</formula>
    </cfRule>
  </conditionalFormatting>
  <conditionalFormatting sqref="B33:D33 F33:H33">
    <cfRule type="expression" dxfId="155" priority="32">
      <formula>$AO$22=3</formula>
    </cfRule>
    <cfRule type="expression" dxfId="154" priority="31">
      <formula>$AO$22=0</formula>
    </cfRule>
  </conditionalFormatting>
  <conditionalFormatting sqref="B71:AJ76">
    <cfRule type="cellIs" priority="178" stopIfTrue="1" operator="greaterThan">
      <formula>0</formula>
    </cfRule>
    <cfRule type="expression" dxfId="153" priority="179">
      <formula>$AM$71=2</formula>
    </cfRule>
  </conditionalFormatting>
  <conditionalFormatting sqref="D68">
    <cfRule type="cellIs" dxfId="152" priority="152" operator="equal">
      <formula>0</formula>
    </cfRule>
  </conditionalFormatting>
  <conditionalFormatting sqref="E16">
    <cfRule type="expression" dxfId="151" priority="161">
      <formula>ISBLANK(E16)</formula>
    </cfRule>
  </conditionalFormatting>
  <conditionalFormatting sqref="E26">
    <cfRule type="expression" dxfId="150" priority="856">
      <formula>$AP$26=3</formula>
    </cfRule>
    <cfRule type="expression" dxfId="149" priority="855">
      <formula>$AM$26=1</formula>
    </cfRule>
  </conditionalFormatting>
  <conditionalFormatting sqref="E28">
    <cfRule type="expression" dxfId="148" priority="858">
      <formula>$AP$28=3</formula>
    </cfRule>
    <cfRule type="expression" dxfId="147" priority="857">
      <formula>$AM$28=1</formula>
    </cfRule>
  </conditionalFormatting>
  <conditionalFormatting sqref="E30">
    <cfRule type="expression" dxfId="146" priority="860">
      <formula>$AP$30=3</formula>
    </cfRule>
    <cfRule type="expression" dxfId="145" priority="859">
      <formula>$AM$30=1</formula>
    </cfRule>
  </conditionalFormatting>
  <conditionalFormatting sqref="E83:E84">
    <cfRule type="expression" dxfId="144" priority="160">
      <formula>ISBLANK(E83)</formula>
    </cfRule>
  </conditionalFormatting>
  <conditionalFormatting sqref="E86:E88">
    <cfRule type="expression" dxfId="143" priority="155">
      <formula>ISBLANK(E86)</formula>
    </cfRule>
  </conditionalFormatting>
  <conditionalFormatting sqref="E85:Y85">
    <cfRule type="expression" dxfId="142" priority="158">
      <formula>ISBLANK(E85)</formula>
    </cfRule>
  </conditionalFormatting>
  <conditionalFormatting sqref="F22">
    <cfRule type="expression" dxfId="141" priority="22">
      <formula>ISBLANK(F22)</formula>
    </cfRule>
  </conditionalFormatting>
  <conditionalFormatting sqref="F34 F36 F38 F40 F42 F44 F46 F48 F50 F52 F54 F56 F58 F60 F62">
    <cfRule type="cellIs" priority="134" stopIfTrue="1" operator="greaterThan">
      <formula>0</formula>
    </cfRule>
    <cfRule type="expression" dxfId="140" priority="135">
      <formula>$AM34=2</formula>
    </cfRule>
  </conditionalFormatting>
  <conditionalFormatting sqref="K34 R34 K36 R36 K38 R38 K40 R40 K42 R42 K44 R44 K46 R46 K48 R48 K50 R50 K52 R52 K54 R54 K56 R56 K58 R58 K60 R60 K62 R62">
    <cfRule type="cellIs" priority="1024" stopIfTrue="1" operator="greaterThan">
      <formula>0</formula>
    </cfRule>
    <cfRule type="expression" dxfId="139" priority="1022">
      <formula>$AQ$18=1</formula>
    </cfRule>
    <cfRule type="expression" dxfId="138" priority="1023">
      <formula>$AQ$18=2</formula>
    </cfRule>
    <cfRule type="expression" dxfId="137" priority="1025">
      <formula>$AN34=2</formula>
    </cfRule>
  </conditionalFormatting>
  <conditionalFormatting sqref="K32:M32">
    <cfRule type="expression" dxfId="136" priority="2">
      <formula>$AO$22=0</formula>
    </cfRule>
    <cfRule type="expression" dxfId="135" priority="3">
      <formula>$AO$22=3</formula>
    </cfRule>
  </conditionalFormatting>
  <conditionalFormatting sqref="K64:M64">
    <cfRule type="expression" dxfId="134" priority="1204">
      <formula>$AN$18=1</formula>
    </cfRule>
    <cfRule type="expression" dxfId="133" priority="1205">
      <formula>$AO$18=2</formula>
    </cfRule>
    <cfRule type="cellIs" priority="1206" stopIfTrue="1" operator="greaterThan">
      <formula>0</formula>
    </cfRule>
    <cfRule type="cellIs" dxfId="132" priority="1207" operator="equal">
      <formula>0</formula>
    </cfRule>
  </conditionalFormatting>
  <conditionalFormatting sqref="N34 U34 N36 U36 N38 U38 N40 U40 N42 U42 N44 U44 N46 U46 N48 U48 N50 U50 N52 U52 N54 U54 N56 U56 N58 U58 N60 U60 N62 U62 N64">
    <cfRule type="expression" dxfId="131" priority="1142">
      <formula>$AM$18=0</formula>
    </cfRule>
    <cfRule type="expression" dxfId="130" priority="1143">
      <formula>$AQ$18=3</formula>
    </cfRule>
  </conditionalFormatting>
  <conditionalFormatting sqref="O16">
    <cfRule type="expression" dxfId="129" priority="162">
      <formula>ISBLANK(O16)</formula>
    </cfRule>
  </conditionalFormatting>
  <conditionalFormatting sqref="O86">
    <cfRule type="expression" dxfId="128" priority="156">
      <formula>ISBLANK(O86)</formula>
    </cfRule>
  </conditionalFormatting>
  <conditionalFormatting sqref="R64">
    <cfRule type="cellIs" priority="110" stopIfTrue="1" operator="greaterThan">
      <formula>0</formula>
    </cfRule>
    <cfRule type="cellIs" dxfId="127" priority="111" operator="equal">
      <formula>0</formula>
    </cfRule>
  </conditionalFormatting>
  <conditionalFormatting sqref="R64:T64">
    <cfRule type="expression" dxfId="126" priority="24">
      <formula>$AQ$18=1</formula>
    </cfRule>
    <cfRule type="expression" dxfId="125" priority="23">
      <formula>$AQ$18=2</formula>
    </cfRule>
  </conditionalFormatting>
  <conditionalFormatting sqref="R65:T65">
    <cfRule type="cellIs" dxfId="124" priority="7" operator="equal">
      <formula>0</formula>
    </cfRule>
  </conditionalFormatting>
  <conditionalFormatting sqref="U64">
    <cfRule type="expression" dxfId="123" priority="30">
      <formula>$AQ$18=3</formula>
    </cfRule>
    <cfRule type="expression" dxfId="122" priority="29">
      <formula>$AM$18=0</formula>
    </cfRule>
  </conditionalFormatting>
  <conditionalFormatting sqref="V20 V22">
    <cfRule type="expression" dxfId="121" priority="890">
      <formula>$AM$20=0</formula>
    </cfRule>
    <cfRule type="expression" dxfId="120" priority="889">
      <formula>$AP$20=3</formula>
    </cfRule>
  </conditionalFormatting>
  <conditionalFormatting sqref="V24 Y24">
    <cfRule type="expression" dxfId="119" priority="1208">
      <formula>$AP$18=3</formula>
    </cfRule>
    <cfRule type="expression" dxfId="118" priority="1209">
      <formula>$AM$18=0</formula>
    </cfRule>
  </conditionalFormatting>
  <conditionalFormatting sqref="W16 F20">
    <cfRule type="expression" dxfId="117" priority="171">
      <formula>ISBLANK(F16)</formula>
    </cfRule>
  </conditionalFormatting>
  <conditionalFormatting sqref="W86">
    <cfRule type="expression" dxfId="116" priority="157">
      <formula>ISBLANK(W86)</formula>
    </cfRule>
  </conditionalFormatting>
  <conditionalFormatting sqref="Y34 Y36 Y38 Y40 Y42 Y44 Y46 Y48 Y50 Y52 Y54 Y56 Y58 Y60 Y62">
    <cfRule type="expression" dxfId="115" priority="15">
      <formula>$AN34=2</formula>
    </cfRule>
    <cfRule type="cellIs" priority="14" stopIfTrue="1" operator="greaterThan">
      <formula>0</formula>
    </cfRule>
    <cfRule type="expression" dxfId="114" priority="12">
      <formula>$AQ$18=1</formula>
    </cfRule>
    <cfRule type="expression" dxfId="113" priority="13">
      <formula>$AQ$18=2</formula>
    </cfRule>
  </conditionalFormatting>
  <conditionalFormatting sqref="Y64">
    <cfRule type="cellIs" dxfId="112" priority="11" operator="equal">
      <formula>0</formula>
    </cfRule>
    <cfRule type="cellIs" priority="10" stopIfTrue="1" operator="greaterThan">
      <formula>0</formula>
    </cfRule>
  </conditionalFormatting>
  <conditionalFormatting sqref="Y64:AA64">
    <cfRule type="expression" dxfId="111" priority="9">
      <formula>$AQ$18=1</formula>
    </cfRule>
    <cfRule type="expression" dxfId="110" priority="8">
      <formula>$AQ$18=2</formula>
    </cfRule>
  </conditionalFormatting>
  <conditionalFormatting sqref="Y65:AA65">
    <cfRule type="cellIs" dxfId="109" priority="1" operator="equal">
      <formula>0</formula>
    </cfRule>
  </conditionalFormatting>
  <conditionalFormatting sqref="AB34">
    <cfRule type="expression" dxfId="108" priority="21">
      <formula>$AQ$18=3</formula>
    </cfRule>
    <cfRule type="expression" dxfId="107" priority="20">
      <formula>$AM$18=0</formula>
    </cfRule>
  </conditionalFormatting>
  <conditionalFormatting sqref="AB36">
    <cfRule type="expression" dxfId="106" priority="19">
      <formula>$AQ$18=3</formula>
    </cfRule>
    <cfRule type="expression" dxfId="105" priority="18">
      <formula>$AM$18=0</formula>
    </cfRule>
  </conditionalFormatting>
  <conditionalFormatting sqref="AB38 AB40 AB42 AB44 AB46 AB48 AB50 AB52 AB54 AB56 AB58 AB60 AB62 AB64">
    <cfRule type="expression" dxfId="104" priority="17">
      <formula>$AQ$18=3</formula>
    </cfRule>
    <cfRule type="expression" dxfId="103" priority="16">
      <formula>$AM$18=0</formula>
    </cfRule>
  </conditionalFormatting>
  <conditionalFormatting sqref="AC90">
    <cfRule type="expression" dxfId="102" priority="159">
      <formula>ISBLANK(AC90)</formula>
    </cfRule>
  </conditionalFormatting>
  <conditionalFormatting sqref="AE34 AH34 AE36 AH36 AE38 AH38 AE40 AH40 AE42 AH42 AE44 AH44 AE46 AH46 AE48 AH48 AE50 AH50 AE52 AH52 AE54 AH54 AE56 AH56 AE58 AH58 AE60 AH60 AE62 AH62">
    <cfRule type="expression" dxfId="101" priority="1017">
      <formula>$AQ34=3</formula>
    </cfRule>
    <cfRule type="expression" priority="1018" stopIfTrue="1">
      <formula>$AP34=1</formula>
    </cfRule>
    <cfRule type="expression" dxfId="100" priority="1019">
      <formula>$AN34=2</formula>
    </cfRule>
  </conditionalFormatting>
  <conditionalFormatting sqref="AE14:AJ14 E14:Y15 AE15 AE16:AJ16 E17:Y18 AE18:AJ18">
    <cfRule type="expression" dxfId="99" priority="173">
      <formula>ISBLANK(E14)</formula>
    </cfRule>
  </conditionalFormatting>
  <conditionalFormatting sqref="AE68:AJ68">
    <cfRule type="cellIs" dxfId="98" priority="151" operator="equal">
      <formula>0</formula>
    </cfRule>
  </conditionalFormatting>
  <conditionalFormatting sqref="AH20">
    <cfRule type="cellIs" priority="887" stopIfTrue="1" operator="greaterThan">
      <formula>0</formula>
    </cfRule>
    <cfRule type="expression" dxfId="97" priority="888">
      <formula>$AN$20=1</formula>
    </cfRule>
  </conditionalFormatting>
  <conditionalFormatting sqref="AH22">
    <cfRule type="cellIs" priority="893" stopIfTrue="1" operator="greaterThan">
      <formula>0</formula>
    </cfRule>
    <cfRule type="expression" dxfId="96" priority="894">
      <formula>$AO$20=1</formula>
    </cfRule>
  </conditionalFormatting>
  <printOptions horizontalCentered="1"/>
  <pageMargins left="0.25" right="0.25" top="0.25" bottom="0.25" header="0.3" footer="0.3"/>
  <pageSetup orientation="portrait" horizontalDpi="1200" verticalDpi="1200" r:id="rId1"/>
  <rowBreaks count="1" manualBreakCount="1">
    <brk id="67"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C2E40-779F-4ADC-9DBC-41371F4FD686}">
  <sheetPr codeName="Sheet2">
    <tabColor theme="8" tint="0.39997558519241921"/>
  </sheetPr>
  <dimension ref="A1:CF237"/>
  <sheetViews>
    <sheetView showGridLines="0" showRowColHeaders="0" showZeros="0" zoomScale="150" zoomScaleNormal="150" workbookViewId="0">
      <selection activeCell="AF15" sqref="AF15:AK15"/>
    </sheetView>
  </sheetViews>
  <sheetFormatPr defaultColWidth="0" defaultRowHeight="0" customHeight="1" zeroHeight="1" x14ac:dyDescent="0.3"/>
  <cols>
    <col min="1" max="1" width="2.33203125" style="4" customWidth="1"/>
    <col min="2" max="9" width="2.77734375" style="4" customWidth="1"/>
    <col min="10" max="10" width="1.77734375" style="4" customWidth="1"/>
    <col min="11" max="11" width="2.77734375" style="4" customWidth="1"/>
    <col min="12" max="12" width="3.77734375" style="4" customWidth="1"/>
    <col min="13" max="20" width="2.77734375" style="4" customWidth="1"/>
    <col min="21" max="21" width="1.77734375" style="4" customWidth="1"/>
    <col min="22" max="26" width="2.77734375" style="4" customWidth="1"/>
    <col min="27" max="27" width="1.77734375" style="4" customWidth="1"/>
    <col min="28" max="35" width="2.77734375" style="4" customWidth="1"/>
    <col min="36" max="36" width="1.77734375" style="4" customWidth="1"/>
    <col min="37" max="38" width="2.77734375" style="4" customWidth="1"/>
    <col min="39" max="39" width="10.33203125" style="56" hidden="1" customWidth="1"/>
    <col min="40" max="40" width="9.21875" style="56" hidden="1" customWidth="1"/>
    <col min="41" max="41" width="9" style="101" hidden="1" customWidth="1"/>
    <col min="42" max="44" width="10" style="101" hidden="1" customWidth="1"/>
    <col min="45" max="45" width="11.21875" style="101" hidden="1" customWidth="1"/>
    <col min="46" max="46" width="3.77734375" style="4" customWidth="1"/>
    <col min="47" max="47" width="3.77734375" style="62" customWidth="1"/>
    <col min="48" max="49" width="3.77734375" style="4" customWidth="1"/>
    <col min="50" max="80" width="2.77734375" style="4" customWidth="1"/>
    <col min="81" max="16384" width="8.88671875" style="4" hidden="1"/>
  </cols>
  <sheetData>
    <row r="1" spans="1:84" ht="15" customHeight="1" x14ac:dyDescent="0.3">
      <c r="P1" s="5"/>
      <c r="Q1" s="5"/>
      <c r="R1" s="5"/>
      <c r="S1" s="5"/>
      <c r="T1" s="5"/>
      <c r="U1" s="201" t="s">
        <v>53</v>
      </c>
      <c r="V1" s="201"/>
      <c r="W1" s="201"/>
      <c r="X1" s="201"/>
      <c r="Y1" s="201"/>
      <c r="Z1" s="201"/>
      <c r="AA1" s="201"/>
      <c r="AB1" s="201"/>
      <c r="AC1" s="201"/>
      <c r="AD1" s="201"/>
      <c r="AE1" s="201"/>
      <c r="AF1" s="201"/>
      <c r="AG1" s="201"/>
      <c r="AH1" s="201"/>
      <c r="AI1" s="201"/>
      <c r="AJ1" s="201"/>
      <c r="AK1" s="201"/>
      <c r="AL1" s="201"/>
      <c r="BI1" s="201" t="s">
        <v>53</v>
      </c>
      <c r="BJ1" s="201"/>
      <c r="BK1" s="201"/>
      <c r="BL1" s="201"/>
      <c r="BM1" s="201"/>
      <c r="BN1" s="201"/>
      <c r="BO1" s="201"/>
      <c r="BP1" s="201"/>
      <c r="BQ1" s="201"/>
      <c r="BR1" s="201"/>
      <c r="BS1" s="201"/>
      <c r="BT1" s="201"/>
      <c r="BU1" s="201"/>
      <c r="BV1" s="201"/>
      <c r="BW1" s="201"/>
      <c r="BX1" s="201"/>
      <c r="BY1" s="201"/>
      <c r="BZ1" s="201"/>
      <c r="CA1" s="201"/>
      <c r="CB1" s="23"/>
      <c r="CC1" s="23"/>
      <c r="CD1" s="23"/>
      <c r="CE1" s="23"/>
      <c r="CF1" s="23"/>
    </row>
    <row r="2" spans="1:84" ht="15" customHeight="1" x14ac:dyDescent="0.3">
      <c r="K2" s="5"/>
      <c r="L2" s="5"/>
      <c r="M2" s="5"/>
      <c r="N2" s="5"/>
      <c r="O2" s="5"/>
      <c r="P2" s="5"/>
      <c r="Q2" s="5"/>
      <c r="R2" s="5"/>
      <c r="S2" s="5"/>
      <c r="T2" s="5"/>
      <c r="U2" s="201"/>
      <c r="V2" s="201"/>
      <c r="W2" s="201"/>
      <c r="X2" s="201"/>
      <c r="Y2" s="201"/>
      <c r="Z2" s="201"/>
      <c r="AA2" s="201"/>
      <c r="AB2" s="201"/>
      <c r="AC2" s="201"/>
      <c r="AD2" s="201"/>
      <c r="AE2" s="201"/>
      <c r="AF2" s="201"/>
      <c r="AG2" s="201"/>
      <c r="AH2" s="201"/>
      <c r="AI2" s="201"/>
      <c r="AJ2" s="201"/>
      <c r="AK2" s="201"/>
      <c r="AL2" s="201"/>
      <c r="BH2" s="23"/>
      <c r="BI2" s="201"/>
      <c r="BJ2" s="201"/>
      <c r="BK2" s="201"/>
      <c r="BL2" s="201"/>
      <c r="BM2" s="201"/>
      <c r="BN2" s="201"/>
      <c r="BO2" s="201"/>
      <c r="BP2" s="201"/>
      <c r="BQ2" s="201"/>
      <c r="BR2" s="201"/>
      <c r="BS2" s="201"/>
      <c r="BT2" s="201"/>
      <c r="BU2" s="201"/>
      <c r="BV2" s="201"/>
      <c r="BW2" s="201"/>
      <c r="BX2" s="201"/>
      <c r="BY2" s="201"/>
      <c r="BZ2" s="201"/>
      <c r="CA2" s="201"/>
      <c r="CB2" s="23"/>
      <c r="CC2" s="23"/>
      <c r="CD2" s="23"/>
      <c r="CE2" s="23"/>
      <c r="CF2" s="23"/>
    </row>
    <row r="3" spans="1:84" ht="15" customHeight="1" x14ac:dyDescent="0.3">
      <c r="K3" s="5"/>
      <c r="L3" s="5"/>
      <c r="M3" s="5"/>
      <c r="N3" s="5"/>
      <c r="O3" s="5"/>
      <c r="P3" s="5"/>
      <c r="Q3" s="5"/>
      <c r="R3" s="5"/>
      <c r="S3" s="5"/>
      <c r="T3" s="5"/>
      <c r="U3" s="201"/>
      <c r="V3" s="201"/>
      <c r="W3" s="201"/>
      <c r="X3" s="201"/>
      <c r="Y3" s="201"/>
      <c r="Z3" s="201"/>
      <c r="AA3" s="201"/>
      <c r="AB3" s="201"/>
      <c r="AC3" s="201"/>
      <c r="AD3" s="201"/>
      <c r="AE3" s="201"/>
      <c r="AF3" s="201"/>
      <c r="AG3" s="201"/>
      <c r="AH3" s="201"/>
      <c r="AI3" s="201"/>
      <c r="AJ3" s="201"/>
      <c r="AK3" s="201"/>
      <c r="AL3" s="201"/>
      <c r="BH3" s="23"/>
      <c r="BI3" s="201"/>
      <c r="BJ3" s="201"/>
      <c r="BK3" s="201"/>
      <c r="BL3" s="201"/>
      <c r="BM3" s="201"/>
      <c r="BN3" s="201"/>
      <c r="BO3" s="201"/>
      <c r="BP3" s="201"/>
      <c r="BQ3" s="201"/>
      <c r="BR3" s="201"/>
      <c r="BS3" s="201"/>
      <c r="BT3" s="201"/>
      <c r="BU3" s="201"/>
      <c r="BV3" s="201"/>
      <c r="BW3" s="201"/>
      <c r="BX3" s="201"/>
      <c r="BY3" s="201"/>
      <c r="BZ3" s="201"/>
      <c r="CA3" s="201"/>
      <c r="CB3" s="23"/>
      <c r="CC3" s="23"/>
      <c r="CD3" s="23"/>
      <c r="CE3" s="23"/>
      <c r="CF3" s="23"/>
    </row>
    <row r="4" spans="1:84" ht="15" customHeight="1" x14ac:dyDescent="0.3">
      <c r="K4" s="5"/>
      <c r="L4" s="5"/>
      <c r="M4" s="5"/>
      <c r="N4" s="5"/>
      <c r="O4" s="5"/>
      <c r="P4" s="5"/>
      <c r="Q4" s="5"/>
      <c r="R4" s="5"/>
      <c r="S4" s="5"/>
      <c r="T4" s="5"/>
      <c r="U4" s="201"/>
      <c r="V4" s="201"/>
      <c r="W4" s="201"/>
      <c r="X4" s="201"/>
      <c r="Y4" s="201"/>
      <c r="Z4" s="201"/>
      <c r="AA4" s="201"/>
      <c r="AB4" s="201"/>
      <c r="AC4" s="201"/>
      <c r="AD4" s="201"/>
      <c r="AE4" s="201"/>
      <c r="AF4" s="201"/>
      <c r="AG4" s="201"/>
      <c r="AH4" s="201"/>
      <c r="AI4" s="201"/>
      <c r="AJ4" s="201"/>
      <c r="AK4" s="201"/>
      <c r="AL4" s="201"/>
      <c r="BI4" s="201"/>
      <c r="BJ4" s="201"/>
      <c r="BK4" s="201"/>
      <c r="BL4" s="201"/>
      <c r="BM4" s="201"/>
      <c r="BN4" s="201"/>
      <c r="BO4" s="201"/>
      <c r="BP4" s="201"/>
      <c r="BQ4" s="201"/>
      <c r="BR4" s="201"/>
      <c r="BS4" s="201"/>
      <c r="BT4" s="201"/>
      <c r="BU4" s="201"/>
      <c r="BV4" s="201"/>
      <c r="BW4" s="201"/>
      <c r="BX4" s="201"/>
      <c r="BY4" s="201"/>
      <c r="BZ4" s="201"/>
      <c r="CA4" s="201"/>
      <c r="CB4" s="23"/>
      <c r="CC4" s="23"/>
      <c r="CD4" s="23"/>
      <c r="CE4" s="23"/>
      <c r="CF4" s="23"/>
    </row>
    <row r="5" spans="1:84" ht="4.95" customHeight="1" x14ac:dyDescent="0.3">
      <c r="K5" s="5"/>
      <c r="L5" s="5"/>
      <c r="M5" s="5"/>
      <c r="N5" s="5"/>
      <c r="O5" s="5"/>
      <c r="P5" s="5"/>
      <c r="Q5" s="5"/>
      <c r="R5" s="5"/>
      <c r="S5" s="5"/>
      <c r="T5" s="5"/>
      <c r="U5" s="11"/>
      <c r="V5" s="11"/>
      <c r="W5" s="11"/>
      <c r="X5" s="11"/>
      <c r="Y5" s="11"/>
      <c r="Z5" s="11"/>
      <c r="AA5" s="11"/>
      <c r="AB5" s="11"/>
      <c r="AC5" s="11"/>
      <c r="AD5" s="11"/>
      <c r="AE5" s="11"/>
      <c r="AF5" s="11"/>
      <c r="AG5" s="11"/>
      <c r="AH5" s="11"/>
      <c r="AI5" s="11"/>
      <c r="AJ5" s="11"/>
      <c r="AK5" s="11"/>
      <c r="AL5" s="11"/>
    </row>
    <row r="6" spans="1:84" ht="15" customHeight="1" x14ac:dyDescent="0.3">
      <c r="A6" s="24"/>
      <c r="B6" s="25" t="s">
        <v>122</v>
      </c>
      <c r="C6" s="25"/>
      <c r="D6" s="25"/>
      <c r="E6" s="25"/>
      <c r="F6" s="25"/>
      <c r="G6" s="25"/>
      <c r="H6" s="25"/>
      <c r="I6" s="25"/>
      <c r="J6" s="25"/>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7"/>
      <c r="AU6" s="205" t="s">
        <v>69</v>
      </c>
      <c r="AV6" s="205"/>
      <c r="AW6" s="205"/>
      <c r="AX6" s="205"/>
      <c r="AY6" s="205"/>
      <c r="AZ6" s="205"/>
      <c r="BA6" s="205"/>
      <c r="BB6" s="205"/>
      <c r="BC6" s="205"/>
      <c r="BD6" s="205"/>
      <c r="BE6" s="205"/>
      <c r="BF6" s="205"/>
      <c r="BG6" s="205"/>
      <c r="BH6" s="205"/>
      <c r="BI6" s="71"/>
      <c r="BJ6" s="71"/>
      <c r="BK6" s="71"/>
      <c r="BL6" s="71"/>
      <c r="BM6" s="71"/>
      <c r="BN6" s="71"/>
      <c r="BO6" s="71"/>
      <c r="BP6" s="71"/>
      <c r="BQ6" s="71"/>
      <c r="BR6" s="71"/>
      <c r="BS6" s="71"/>
      <c r="BT6" s="71"/>
      <c r="BU6" s="71"/>
      <c r="BV6" s="71"/>
      <c r="BW6" s="71"/>
      <c r="BX6" s="71"/>
      <c r="BY6" s="71"/>
      <c r="BZ6" s="71"/>
      <c r="CA6" s="71"/>
      <c r="CB6" s="71"/>
    </row>
    <row r="7" spans="1:84" ht="15" customHeight="1" x14ac:dyDescent="0.3">
      <c r="A7" s="28"/>
      <c r="B7" s="29" t="s">
        <v>59</v>
      </c>
      <c r="C7" s="29"/>
      <c r="D7" s="29"/>
      <c r="E7" s="220"/>
      <c r="F7" s="220"/>
      <c r="G7" s="220"/>
      <c r="H7" s="220"/>
      <c r="I7" s="220"/>
      <c r="J7" s="220"/>
      <c r="K7" s="220"/>
      <c r="L7" s="220"/>
      <c r="M7" s="220"/>
      <c r="N7" s="220"/>
      <c r="O7" s="220"/>
      <c r="P7" s="220"/>
      <c r="Q7" s="220"/>
      <c r="R7" s="220"/>
      <c r="S7" s="220"/>
      <c r="T7" s="220"/>
      <c r="U7" s="220"/>
      <c r="V7" s="220"/>
      <c r="W7" s="220"/>
      <c r="X7" s="220"/>
      <c r="Y7" s="220"/>
      <c r="Z7" s="220"/>
      <c r="AA7" s="29"/>
      <c r="AB7" s="29"/>
      <c r="AC7" s="29"/>
      <c r="AD7" s="29"/>
      <c r="AE7" s="30" t="s">
        <v>20</v>
      </c>
      <c r="AF7" s="229"/>
      <c r="AG7" s="229"/>
      <c r="AH7" s="229"/>
      <c r="AI7" s="229"/>
      <c r="AJ7" s="229"/>
      <c r="AK7" s="229"/>
      <c r="AL7" s="31"/>
      <c r="AU7" s="205"/>
      <c r="AV7" s="205"/>
      <c r="AW7" s="205"/>
      <c r="AX7" s="205"/>
      <c r="AY7" s="205"/>
      <c r="AZ7" s="205"/>
      <c r="BA7" s="205"/>
      <c r="BB7" s="205"/>
      <c r="BC7" s="205"/>
      <c r="BD7" s="205"/>
      <c r="BE7" s="205"/>
      <c r="BF7" s="205"/>
      <c r="BG7" s="205"/>
      <c r="BH7" s="205"/>
      <c r="BI7" s="71"/>
      <c r="BJ7" s="71"/>
      <c r="BK7" s="71"/>
      <c r="BL7" s="71"/>
      <c r="BM7" s="71"/>
      <c r="BN7" s="71"/>
      <c r="BO7" s="71"/>
      <c r="BP7" s="71"/>
      <c r="BQ7" s="71"/>
      <c r="BR7" s="71"/>
      <c r="BS7" s="71"/>
      <c r="BT7" s="71"/>
      <c r="BU7" s="71"/>
      <c r="BV7" s="71"/>
      <c r="BW7" s="71"/>
      <c r="BX7" s="71"/>
      <c r="BY7" s="71"/>
      <c r="BZ7" s="71"/>
      <c r="CA7" s="71"/>
      <c r="CB7" s="71"/>
    </row>
    <row r="8" spans="1:84" ht="4.95" customHeight="1" x14ac:dyDescent="0.3">
      <c r="A8" s="28"/>
      <c r="B8" s="29"/>
      <c r="C8" s="29"/>
      <c r="D8" s="29"/>
      <c r="E8" s="29"/>
      <c r="F8" s="29"/>
      <c r="G8" s="29"/>
      <c r="H8" s="29"/>
      <c r="I8" s="29"/>
      <c r="J8" s="26"/>
      <c r="K8" s="29"/>
      <c r="L8" s="29"/>
      <c r="M8" s="29"/>
      <c r="N8" s="29"/>
      <c r="O8" s="29"/>
      <c r="P8" s="29"/>
      <c r="Q8" s="29"/>
      <c r="R8" s="29"/>
      <c r="S8" s="29"/>
      <c r="T8" s="26"/>
      <c r="U8" s="29"/>
      <c r="V8" s="29"/>
      <c r="W8" s="29"/>
      <c r="X8" s="29"/>
      <c r="Y8" s="29"/>
      <c r="Z8" s="29"/>
      <c r="AA8" s="29"/>
      <c r="AB8" s="29"/>
      <c r="AC8" s="29"/>
      <c r="AD8" s="29"/>
      <c r="AE8" s="29"/>
      <c r="AF8" s="30"/>
      <c r="AG8" s="30"/>
      <c r="AH8" s="30"/>
      <c r="AI8" s="30"/>
      <c r="AJ8" s="29"/>
      <c r="AK8" s="29"/>
      <c r="AL8" s="31"/>
    </row>
    <row r="9" spans="1:84" ht="15" customHeight="1" x14ac:dyDescent="0.3">
      <c r="A9" s="28"/>
      <c r="B9" s="29" t="s">
        <v>21</v>
      </c>
      <c r="C9" s="29"/>
      <c r="D9" s="29"/>
      <c r="E9" s="29"/>
      <c r="F9" s="29"/>
      <c r="G9" s="102"/>
      <c r="H9" s="29" t="s">
        <v>131</v>
      </c>
      <c r="I9" s="29"/>
      <c r="J9" s="29"/>
      <c r="K9" s="29"/>
      <c r="L9" s="29"/>
      <c r="M9" s="29"/>
      <c r="N9" s="102"/>
      <c r="O9" s="29" t="s">
        <v>132</v>
      </c>
      <c r="P9" s="29"/>
      <c r="Q9" s="29"/>
      <c r="R9" s="29"/>
      <c r="S9" s="29"/>
      <c r="T9" s="29"/>
      <c r="U9" s="29"/>
      <c r="V9" s="29"/>
      <c r="W9" s="29"/>
      <c r="X9" s="29"/>
      <c r="Y9" s="102"/>
      <c r="Z9" s="29" t="s">
        <v>133</v>
      </c>
      <c r="AA9" s="29"/>
      <c r="AB9" s="29"/>
      <c r="AC9" s="29"/>
      <c r="AD9" s="29"/>
      <c r="AE9" s="102"/>
      <c r="AF9" s="29" t="s">
        <v>134</v>
      </c>
      <c r="AG9" s="29"/>
      <c r="AH9" s="29"/>
      <c r="AI9" s="29"/>
      <c r="AJ9" s="29"/>
      <c r="AK9" s="29"/>
      <c r="AL9" s="31"/>
      <c r="AU9" s="62">
        <v>1</v>
      </c>
      <c r="AV9" s="22" t="s">
        <v>94</v>
      </c>
      <c r="BE9" s="48"/>
      <c r="BF9" s="48"/>
      <c r="BG9" s="48"/>
      <c r="BH9" s="48"/>
      <c r="BI9" s="48"/>
      <c r="BJ9" s="48"/>
      <c r="BK9" s="48"/>
      <c r="BL9" s="48"/>
      <c r="BM9" s="48"/>
      <c r="BN9" s="48"/>
      <c r="BO9" s="48"/>
      <c r="BP9" s="48"/>
      <c r="BQ9" s="48"/>
      <c r="BR9" s="48"/>
      <c r="BS9" s="48"/>
      <c r="BT9" s="48"/>
      <c r="BU9" s="48"/>
      <c r="BV9" s="48"/>
      <c r="BW9" s="48"/>
      <c r="BX9" s="48"/>
      <c r="BY9" s="48"/>
      <c r="BZ9" s="48"/>
      <c r="CA9" s="48"/>
      <c r="CB9" s="48"/>
    </row>
    <row r="10" spans="1:84" ht="4.95" customHeight="1" x14ac:dyDescent="0.3">
      <c r="A10" s="28"/>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31"/>
      <c r="AV10" s="6"/>
      <c r="AW10" s="22"/>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row>
    <row r="11" spans="1:84" ht="15" customHeight="1" x14ac:dyDescent="0.3">
      <c r="A11" s="28"/>
      <c r="B11" s="29" t="s">
        <v>22</v>
      </c>
      <c r="C11" s="30"/>
      <c r="D11" s="30"/>
      <c r="E11" s="30"/>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31"/>
      <c r="AV11" s="6" t="s">
        <v>96</v>
      </c>
      <c r="AW11" s="22" t="s">
        <v>208</v>
      </c>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row>
    <row r="12" spans="1:84" ht="4.95" customHeight="1" x14ac:dyDescent="0.3">
      <c r="A12" s="32"/>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4"/>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row>
    <row r="13" spans="1:84" ht="4.95" customHeight="1" x14ac:dyDescent="0.3">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row>
    <row r="14" spans="1:84" ht="15" customHeight="1" x14ac:dyDescent="0.3">
      <c r="B14" s="1" t="s">
        <v>0</v>
      </c>
      <c r="C14" s="1"/>
      <c r="D14" s="1"/>
      <c r="E14" s="1"/>
      <c r="F14" s="1"/>
      <c r="G14" s="1"/>
      <c r="H14" s="1"/>
      <c r="I14" s="1"/>
      <c r="J14" s="1"/>
      <c r="AE14" s="2" t="str">
        <f>IF(Tables!C25=0,"",Tables!C25&amp;": ")</f>
        <v xml:space="preserve">ENG No.: </v>
      </c>
      <c r="AF14" s="204"/>
      <c r="AG14" s="204"/>
      <c r="AH14" s="204"/>
      <c r="AI14" s="204"/>
      <c r="AJ14" s="204"/>
      <c r="AK14" s="204"/>
      <c r="AM14" s="119">
        <f>LEN(AE14)</f>
        <v>9</v>
      </c>
      <c r="AV14" s="6" t="s">
        <v>97</v>
      </c>
      <c r="AW14" s="22" t="s">
        <v>95</v>
      </c>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row>
    <row r="15" spans="1:84" ht="15" customHeight="1" x14ac:dyDescent="0.3">
      <c r="C15" s="2"/>
      <c r="D15" s="2" t="s">
        <v>145</v>
      </c>
      <c r="E15" s="171">
        <f>'From 2A.1 - Design'!E13</f>
        <v>0</v>
      </c>
      <c r="F15" s="171"/>
      <c r="G15" s="171"/>
      <c r="H15" s="171"/>
      <c r="I15" s="171"/>
      <c r="J15" s="171"/>
      <c r="K15" s="171"/>
      <c r="L15" s="171"/>
      <c r="M15" s="171"/>
      <c r="N15" s="171"/>
      <c r="O15" s="171"/>
      <c r="P15" s="171"/>
      <c r="Q15" s="171"/>
      <c r="R15" s="171"/>
      <c r="S15" s="171"/>
      <c r="T15" s="171"/>
      <c r="U15" s="171"/>
      <c r="V15" s="171"/>
      <c r="W15" s="171"/>
      <c r="X15" s="171"/>
      <c r="Y15" s="171"/>
      <c r="Z15" s="171"/>
      <c r="AE15" s="2" t="s">
        <v>172</v>
      </c>
      <c r="AF15" s="225"/>
      <c r="AG15" s="225"/>
      <c r="AH15" s="225"/>
      <c r="AI15" s="225"/>
      <c r="AJ15" s="225"/>
      <c r="AK15" s="225"/>
      <c r="AU15" s="62">
        <f>AU9+1</f>
        <v>2</v>
      </c>
      <c r="AV15" s="22" t="s">
        <v>98</v>
      </c>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row>
    <row r="16" spans="1:84" ht="15" customHeight="1" x14ac:dyDescent="0.3">
      <c r="C16" s="2"/>
      <c r="D16" s="2" t="s">
        <v>146</v>
      </c>
      <c r="E16" s="230">
        <f>'From 2A.1 - Design'!$E$14</f>
        <v>0</v>
      </c>
      <c r="F16" s="230"/>
      <c r="G16" s="230"/>
      <c r="H16" s="230"/>
      <c r="I16" s="230"/>
      <c r="J16" s="230"/>
      <c r="K16" s="230"/>
      <c r="L16" s="230"/>
      <c r="M16" s="230"/>
      <c r="N16" s="230"/>
      <c r="O16" s="230"/>
      <c r="P16" s="230"/>
      <c r="Q16" s="230"/>
      <c r="R16" s="230"/>
      <c r="S16" s="230"/>
      <c r="T16" s="230"/>
      <c r="U16" s="230"/>
      <c r="V16" s="230"/>
      <c r="W16" s="230"/>
      <c r="X16" s="230"/>
      <c r="Y16" s="230"/>
      <c r="Z16" s="230"/>
      <c r="AE16" s="2" t="s">
        <v>173</v>
      </c>
      <c r="AF16" s="168">
        <f>'From 2A.1 - Design'!AE14</f>
        <v>0</v>
      </c>
      <c r="AG16" s="168"/>
      <c r="AH16" s="168"/>
      <c r="AI16" s="168"/>
      <c r="AJ16" s="168"/>
      <c r="AK16" s="168"/>
      <c r="AV16" s="6" t="s">
        <v>96</v>
      </c>
      <c r="AW16" s="22" t="s">
        <v>116</v>
      </c>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row>
    <row r="17" spans="2:83" ht="4.95" customHeight="1" x14ac:dyDescent="0.3">
      <c r="F17" s="2"/>
      <c r="G17" s="2"/>
      <c r="H17" s="2"/>
      <c r="I17" s="2"/>
      <c r="J17" s="2"/>
      <c r="BW17" s="48"/>
      <c r="BX17" s="48"/>
      <c r="BY17" s="48"/>
      <c r="BZ17" s="48"/>
      <c r="CA17" s="48"/>
      <c r="CB17" s="48"/>
    </row>
    <row r="18" spans="2:83" ht="15" customHeight="1" x14ac:dyDescent="0.3">
      <c r="B18" s="4" t="s">
        <v>127</v>
      </c>
      <c r="F18" s="2"/>
      <c r="G18" s="74"/>
      <c r="H18" s="4" t="s">
        <v>124</v>
      </c>
      <c r="I18" s="2"/>
      <c r="N18" s="74"/>
      <c r="O18" s="4" t="s">
        <v>125</v>
      </c>
      <c r="X18" s="74"/>
      <c r="Y18" s="4" t="str">
        <f>Tables!C24</f>
        <v xml:space="preserve"> O&amp;M Agreement</v>
      </c>
      <c r="AE18" s="74"/>
      <c r="AF18" s="4" t="s">
        <v>128</v>
      </c>
      <c r="AV18" s="6" t="s">
        <v>97</v>
      </c>
      <c r="AW18" s="22" t="s">
        <v>108</v>
      </c>
      <c r="AY18" s="22"/>
      <c r="AZ18" s="22"/>
      <c r="BA18" s="22"/>
      <c r="BB18" s="22"/>
      <c r="BC18" s="22"/>
      <c r="BD18" s="22"/>
      <c r="BE18"/>
      <c r="BF18"/>
      <c r="BG18"/>
      <c r="BH18"/>
      <c r="BI18"/>
      <c r="BJ18"/>
      <c r="BK18"/>
      <c r="BL18"/>
      <c r="BM18"/>
      <c r="BN18"/>
      <c r="BO18"/>
      <c r="BP18"/>
      <c r="BQ18"/>
      <c r="BR18"/>
      <c r="BS18"/>
      <c r="BT18"/>
      <c r="BU18"/>
      <c r="BV18"/>
      <c r="BW18" s="48"/>
      <c r="BX18" s="48"/>
      <c r="BY18" s="48"/>
      <c r="BZ18" s="48"/>
      <c r="CA18" s="48"/>
      <c r="CB18" s="48"/>
    </row>
    <row r="19" spans="2:83" ht="4.95" customHeight="1" x14ac:dyDescent="0.3">
      <c r="AW19" s="94"/>
      <c r="AX19" s="22"/>
      <c r="AY19" s="22"/>
      <c r="AZ19" s="22"/>
      <c r="BA19" s="22"/>
      <c r="BB19" s="22"/>
      <c r="BC19" s="22"/>
      <c r="BD19" s="22"/>
      <c r="BE19"/>
      <c r="BF19"/>
      <c r="BG19"/>
      <c r="BH19"/>
      <c r="BI19"/>
      <c r="BJ19"/>
      <c r="BK19"/>
      <c r="BL19"/>
      <c r="BM19"/>
      <c r="BN19"/>
      <c r="BO19"/>
      <c r="BP19"/>
      <c r="BQ19"/>
      <c r="BR19"/>
      <c r="BS19"/>
      <c r="BT19"/>
      <c r="BU19"/>
      <c r="BV19"/>
      <c r="BW19" s="48"/>
      <c r="BX19" s="48"/>
      <c r="BY19" s="48"/>
      <c r="BZ19" s="48"/>
      <c r="CA19" s="48"/>
      <c r="CB19" s="48"/>
    </row>
    <row r="20" spans="2:83" ht="15" customHeight="1" x14ac:dyDescent="0.3">
      <c r="B20" s="232" t="s">
        <v>14</v>
      </c>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103"/>
      <c r="AN20" s="103"/>
      <c r="AU20" s="4"/>
      <c r="AW20" s="94" t="s">
        <v>115</v>
      </c>
      <c r="AX20" s="22" t="s">
        <v>209</v>
      </c>
      <c r="AZ20" s="22"/>
      <c r="BA20" s="22"/>
      <c r="BB20" s="22"/>
      <c r="BC20" s="22"/>
      <c r="BD20" s="22"/>
      <c r="BE20"/>
      <c r="BF20"/>
      <c r="BG20"/>
      <c r="BH20"/>
      <c r="BI20"/>
      <c r="BJ20"/>
      <c r="BK20"/>
      <c r="BL20"/>
      <c r="BM20"/>
      <c r="BN20"/>
      <c r="BO20"/>
      <c r="BP20"/>
      <c r="BQ20"/>
      <c r="BR20"/>
      <c r="BS20"/>
      <c r="BT20"/>
      <c r="BU20"/>
      <c r="BV20"/>
      <c r="BW20" s="48"/>
      <c r="BX20" s="48"/>
      <c r="BY20" s="48"/>
      <c r="BZ20" s="48"/>
      <c r="CA20" s="48"/>
      <c r="CB20" s="48"/>
    </row>
    <row r="21" spans="2:83" ht="15" customHeight="1" x14ac:dyDescent="0.3">
      <c r="B21" s="1" t="s">
        <v>54</v>
      </c>
      <c r="C21" s="1"/>
      <c r="D21" s="1"/>
      <c r="E21" s="1"/>
      <c r="J21" s="1"/>
      <c r="K21" s="1"/>
      <c r="L21" s="1"/>
      <c r="M21" s="1"/>
      <c r="N21" s="1"/>
      <c r="O21" s="1"/>
      <c r="P21" s="1"/>
      <c r="Q21" s="1"/>
      <c r="R21" s="1"/>
      <c r="S21" s="1"/>
      <c r="T21" s="104"/>
      <c r="U21" s="120" t="s">
        <v>55</v>
      </c>
      <c r="W21" s="1"/>
      <c r="X21" s="1"/>
      <c r="AB21" s="1"/>
      <c r="AC21" s="1"/>
      <c r="AD21" s="1"/>
      <c r="AE21" s="1"/>
      <c r="AF21" s="1"/>
      <c r="AG21" s="1"/>
      <c r="AH21" s="1"/>
      <c r="AI21" s="1"/>
      <c r="AJ21" s="1"/>
      <c r="AK21" s="1"/>
      <c r="AL21" s="1"/>
      <c r="AU21" s="4"/>
      <c r="AW21" s="94" t="s">
        <v>115</v>
      </c>
      <c r="AX21" s="22" t="s">
        <v>140</v>
      </c>
      <c r="AY21" s="22"/>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row>
    <row r="22" spans="2:83" ht="15" customHeight="1" x14ac:dyDescent="0.3">
      <c r="B22" s="2"/>
      <c r="D22" s="2" t="s">
        <v>236</v>
      </c>
      <c r="E22" s="231">
        <f>'From 2A.1 - Design'!E59</f>
        <v>0</v>
      </c>
      <c r="F22" s="231"/>
      <c r="G22" s="231"/>
      <c r="H22" s="231"/>
      <c r="K22" s="2" t="s">
        <v>32</v>
      </c>
      <c r="L22" s="171">
        <f>'From 2A.1 - Design'!N59</f>
        <v>0</v>
      </c>
      <c r="M22" s="171"/>
      <c r="N22" s="171"/>
      <c r="O22" s="171"/>
      <c r="T22" s="105"/>
      <c r="X22" s="2" t="s">
        <v>236</v>
      </c>
      <c r="Y22" s="184"/>
      <c r="Z22" s="184"/>
      <c r="AA22" s="184"/>
      <c r="AB22" s="184"/>
      <c r="AG22" s="2" t="s">
        <v>32</v>
      </c>
      <c r="AH22" s="184"/>
      <c r="AI22" s="184"/>
      <c r="AJ22" s="184"/>
      <c r="AK22" s="184"/>
      <c r="AW22" s="94" t="s">
        <v>115</v>
      </c>
      <c r="AX22" s="4" t="s">
        <v>170</v>
      </c>
      <c r="BE22" s="48"/>
      <c r="BF22" s="48"/>
      <c r="BG22" s="48"/>
      <c r="BH22" s="48"/>
      <c r="BI22" s="48"/>
      <c r="BJ22" s="48"/>
      <c r="BK22" s="48"/>
      <c r="BL22" s="48"/>
      <c r="BM22" s="48"/>
      <c r="BN22" s="48"/>
      <c r="BO22" s="48"/>
      <c r="BP22" s="48"/>
      <c r="BQ22" s="48"/>
      <c r="BR22" s="48"/>
      <c r="BS22" s="48"/>
      <c r="BT22" s="48"/>
      <c r="BU22" s="48"/>
      <c r="BV22" s="48"/>
      <c r="BW22"/>
      <c r="BX22"/>
      <c r="BY22"/>
      <c r="BZ22"/>
      <c r="CA22"/>
      <c r="CB22"/>
      <c r="CC22" s="106"/>
      <c r="CD22" s="106"/>
      <c r="CE22" s="106"/>
    </row>
    <row r="23" spans="2:83" ht="15" customHeight="1" x14ac:dyDescent="0.3">
      <c r="B23" s="2"/>
      <c r="D23" s="2" t="s">
        <v>237</v>
      </c>
      <c r="E23" s="238">
        <f>'From 2A.1 - Design'!E60</f>
        <v>0</v>
      </c>
      <c r="F23" s="238"/>
      <c r="G23" s="238"/>
      <c r="H23" s="20" t="s">
        <v>43</v>
      </c>
      <c r="T23" s="105"/>
      <c r="X23" s="2" t="s">
        <v>237</v>
      </c>
      <c r="Y23" s="196"/>
      <c r="Z23" s="196"/>
      <c r="AA23" s="196"/>
      <c r="AB23" s="4" t="s">
        <v>43</v>
      </c>
      <c r="AM23" s="119">
        <f>IF(ISBLANK(Y23),1,2)</f>
        <v>1</v>
      </c>
      <c r="AU23" s="4"/>
      <c r="AW23" s="94" t="s">
        <v>115</v>
      </c>
      <c r="AX23" s="4" t="str">
        <f>Tables!C24</f>
        <v xml:space="preserve"> O&amp;M Agreement</v>
      </c>
      <c r="BW23"/>
      <c r="BX23"/>
      <c r="BY23"/>
      <c r="BZ23"/>
      <c r="CA23"/>
      <c r="CB23"/>
      <c r="CC23" s="106"/>
      <c r="CD23" s="106"/>
      <c r="CE23" s="106"/>
    </row>
    <row r="24" spans="2:83" ht="15" customHeight="1" x14ac:dyDescent="0.3">
      <c r="B24" s="2"/>
      <c r="D24" s="2" t="s">
        <v>238</v>
      </c>
      <c r="E24" s="238">
        <f>'From 2A.1 - Design'!E61</f>
        <v>0</v>
      </c>
      <c r="F24" s="238"/>
      <c r="G24" s="238"/>
      <c r="H24" s="20" t="s">
        <v>43</v>
      </c>
      <c r="K24" s="2" t="s">
        <v>44</v>
      </c>
      <c r="L24" s="226">
        <f>'From 2A.1 - Design'!N61</f>
        <v>0</v>
      </c>
      <c r="M24" s="226"/>
      <c r="N24" s="226"/>
      <c r="O24" s="4" t="s">
        <v>43</v>
      </c>
      <c r="S24" s="52"/>
      <c r="T24" s="105"/>
      <c r="X24" s="2" t="s">
        <v>238</v>
      </c>
      <c r="Y24" s="196"/>
      <c r="Z24" s="196"/>
      <c r="AA24" s="196"/>
      <c r="AB24" s="4" t="s">
        <v>43</v>
      </c>
      <c r="AG24" s="2" t="s">
        <v>44</v>
      </c>
      <c r="AH24" s="192"/>
      <c r="AI24" s="192"/>
      <c r="AJ24" s="192"/>
      <c r="AK24" s="4" t="s">
        <v>43</v>
      </c>
      <c r="AM24" s="119">
        <f>IF(AND(ISBLANK(Y24),ISBLANK(AH24)),1,2)</f>
        <v>1</v>
      </c>
      <c r="AU24" s="62">
        <f>AU15+1</f>
        <v>3</v>
      </c>
      <c r="AV24" s="22" t="s">
        <v>109</v>
      </c>
      <c r="AY24" s="22"/>
      <c r="AZ24" s="22"/>
      <c r="BA24" s="22"/>
      <c r="BB24" s="22"/>
      <c r="BC24" s="22"/>
      <c r="BD24" s="22"/>
      <c r="BE24"/>
      <c r="BF24"/>
      <c r="BG24"/>
      <c r="BH24"/>
      <c r="BI24"/>
      <c r="BJ24"/>
      <c r="BK24"/>
      <c r="BL24"/>
      <c r="BM24"/>
      <c r="BN24"/>
      <c r="BO24"/>
      <c r="BP24"/>
      <c r="BQ24"/>
      <c r="BR24"/>
      <c r="BS24"/>
      <c r="BT24"/>
      <c r="BU24"/>
      <c r="BV24"/>
      <c r="BW24"/>
      <c r="BX24"/>
      <c r="BY24"/>
      <c r="BZ24"/>
      <c r="CA24"/>
      <c r="CB24"/>
    </row>
    <row r="25" spans="2:83" ht="15" customHeight="1" x14ac:dyDescent="0.3">
      <c r="B25" s="2"/>
      <c r="D25" s="2" t="s">
        <v>239</v>
      </c>
      <c r="E25" s="238">
        <f>'From 2A.1 - Design'!E62</f>
        <v>0</v>
      </c>
      <c r="F25" s="238"/>
      <c r="G25" s="238"/>
      <c r="H25" s="20" t="s">
        <v>43</v>
      </c>
      <c r="K25" s="2" t="s">
        <v>45</v>
      </c>
      <c r="L25" s="238">
        <f>'From 2A.1 - Design'!N62</f>
        <v>0</v>
      </c>
      <c r="M25" s="238"/>
      <c r="N25" s="238"/>
      <c r="O25" s="4" t="s">
        <v>43</v>
      </c>
      <c r="S25" s="52"/>
      <c r="T25" s="105"/>
      <c r="X25" s="2" t="s">
        <v>239</v>
      </c>
      <c r="Y25" s="196"/>
      <c r="Z25" s="196"/>
      <c r="AA25" s="196"/>
      <c r="AB25" s="4" t="s">
        <v>43</v>
      </c>
      <c r="AG25" s="2" t="s">
        <v>45</v>
      </c>
      <c r="AH25" s="196"/>
      <c r="AI25" s="196"/>
      <c r="AJ25" s="196"/>
      <c r="AK25" s="4" t="s">
        <v>43</v>
      </c>
      <c r="AV25" s="6" t="s">
        <v>96</v>
      </c>
      <c r="AW25" s="22" t="s">
        <v>319</v>
      </c>
      <c r="AX25" s="22"/>
      <c r="AY25" s="22"/>
      <c r="AZ25" s="22"/>
      <c r="BA25" s="22"/>
      <c r="BB25" s="22"/>
      <c r="BC25" s="22"/>
      <c r="BD25" s="22"/>
      <c r="BE25"/>
      <c r="BF25"/>
      <c r="BG25"/>
      <c r="BH25"/>
      <c r="BI25"/>
      <c r="BJ25"/>
      <c r="BK25"/>
      <c r="BL25"/>
      <c r="BM25"/>
      <c r="BN25"/>
      <c r="BO25"/>
      <c r="BP25"/>
      <c r="BQ25"/>
      <c r="BR25"/>
      <c r="BS25"/>
      <c r="BT25"/>
      <c r="BU25"/>
      <c r="BV25"/>
      <c r="BW25"/>
      <c r="BX25"/>
      <c r="BY25"/>
      <c r="BZ25"/>
      <c r="CA25"/>
      <c r="CB25"/>
    </row>
    <row r="26" spans="2:83" ht="4.95" customHeight="1" x14ac:dyDescent="0.3">
      <c r="B26" s="2"/>
      <c r="D26" s="2"/>
      <c r="E26" s="51"/>
      <c r="F26" s="51"/>
      <c r="G26" s="51"/>
      <c r="H26" s="51"/>
      <c r="I26" s="20"/>
      <c r="N26" s="2"/>
      <c r="O26" s="52"/>
      <c r="Q26" s="52"/>
      <c r="R26" s="52"/>
      <c r="S26" s="52"/>
      <c r="T26" s="105"/>
      <c r="AE26" s="2"/>
      <c r="AF26" s="14"/>
      <c r="AG26" s="14"/>
      <c r="AH26" s="14"/>
      <c r="AI26" s="14"/>
      <c r="BW26"/>
      <c r="BX26"/>
      <c r="BY26"/>
      <c r="BZ26"/>
      <c r="CA26"/>
      <c r="CB26"/>
    </row>
    <row r="27" spans="2:83" ht="15" customHeight="1" x14ac:dyDescent="0.3">
      <c r="B27" s="2"/>
      <c r="D27" s="2" t="s">
        <v>240</v>
      </c>
      <c r="E27" s="133">
        <f>'From 2A.1 - Design'!E64</f>
        <v>0</v>
      </c>
      <c r="F27" s="4" t="s">
        <v>129</v>
      </c>
      <c r="I27" s="133">
        <f>'From 2A.1 - Design'!I64</f>
        <v>0</v>
      </c>
      <c r="J27" s="4" t="s">
        <v>130</v>
      </c>
      <c r="T27" s="105"/>
      <c r="X27" s="2" t="s">
        <v>240</v>
      </c>
      <c r="Y27" s="74"/>
      <c r="Z27" s="4" t="s">
        <v>129</v>
      </c>
      <c r="AC27" s="74"/>
      <c r="AD27" s="4" t="s">
        <v>130</v>
      </c>
      <c r="AM27" s="119">
        <f>IF(AND(ISBLANK(Y27),ISBLANK(AC27)),1,2)</f>
        <v>1</v>
      </c>
      <c r="AW27" s="22" t="s">
        <v>320</v>
      </c>
      <c r="BE27" s="48"/>
      <c r="BF27" s="48"/>
      <c r="BG27" s="48"/>
      <c r="BH27" s="48"/>
      <c r="BI27" s="48"/>
      <c r="BJ27" s="48"/>
      <c r="BK27" s="48"/>
      <c r="BL27" s="48"/>
      <c r="BM27" s="48"/>
      <c r="BN27" s="48"/>
      <c r="BO27" s="48"/>
      <c r="BP27" s="48"/>
      <c r="BQ27" s="48"/>
      <c r="BR27" s="48"/>
      <c r="BS27" s="48"/>
      <c r="BT27" s="48"/>
      <c r="BU27" s="48"/>
      <c r="BV27" s="48"/>
      <c r="BW27"/>
      <c r="BX27"/>
      <c r="BY27"/>
      <c r="BZ27"/>
      <c r="CA27"/>
      <c r="CB27"/>
    </row>
    <row r="28" spans="2:83" ht="4.95" customHeight="1" x14ac:dyDescent="0.3">
      <c r="B28" s="2"/>
      <c r="D28" s="2"/>
      <c r="T28" s="105"/>
      <c r="AE28" s="2"/>
      <c r="AX28" s="22"/>
      <c r="AY28" s="22"/>
      <c r="AZ28" s="22"/>
      <c r="BA28" s="22"/>
      <c r="BB28" s="22"/>
      <c r="BC28" s="22"/>
      <c r="BD28" s="22"/>
      <c r="BE28"/>
      <c r="BF28"/>
      <c r="BG28"/>
      <c r="BH28"/>
      <c r="BI28"/>
      <c r="BJ28"/>
      <c r="BK28"/>
      <c r="BL28"/>
      <c r="BM28"/>
      <c r="BN28"/>
      <c r="BO28"/>
      <c r="BP28"/>
      <c r="BQ28"/>
      <c r="BR28"/>
      <c r="BS28"/>
      <c r="BT28"/>
      <c r="BU28"/>
      <c r="BV28"/>
      <c r="BW28" s="107"/>
      <c r="BX28" s="107"/>
      <c r="BY28" s="107"/>
      <c r="BZ28" s="107"/>
      <c r="CA28" s="107"/>
      <c r="CB28" s="107"/>
    </row>
    <row r="29" spans="2:83" ht="15" customHeight="1" x14ac:dyDescent="0.3">
      <c r="F29" s="6" t="s">
        <v>33</v>
      </c>
      <c r="G29" s="6"/>
      <c r="H29" s="6"/>
      <c r="I29" s="6"/>
      <c r="J29" s="6" t="s">
        <v>264</v>
      </c>
      <c r="L29" s="6"/>
      <c r="M29" s="6"/>
      <c r="N29" s="6" t="s">
        <v>265</v>
      </c>
      <c r="P29" s="6"/>
      <c r="Q29" s="6"/>
      <c r="R29" s="6" t="s">
        <v>41</v>
      </c>
      <c r="T29" s="108"/>
      <c r="W29" s="6" t="s">
        <v>33</v>
      </c>
      <c r="AB29" s="6" t="s">
        <v>264</v>
      </c>
      <c r="AC29" s="6"/>
      <c r="AD29" s="6"/>
      <c r="AF29" s="6" t="s">
        <v>265</v>
      </c>
      <c r="AG29" s="6"/>
      <c r="AH29" s="6"/>
      <c r="AI29" s="6"/>
      <c r="AJ29" s="6" t="s">
        <v>41</v>
      </c>
      <c r="AV29" s="6" t="s">
        <v>97</v>
      </c>
      <c r="AW29" s="22" t="s">
        <v>100</v>
      </c>
      <c r="AX29" s="22"/>
      <c r="AY29" s="22"/>
      <c r="AZ29" s="22"/>
      <c r="BA29" s="22"/>
      <c r="BB29" s="22"/>
      <c r="BC29" s="22"/>
      <c r="BD29" s="22"/>
      <c r="BE29"/>
      <c r="BF29"/>
      <c r="BG29"/>
      <c r="BH29"/>
      <c r="BI29"/>
      <c r="BJ29"/>
      <c r="BK29"/>
      <c r="BL29"/>
      <c r="BM29"/>
      <c r="BN29"/>
      <c r="BO29"/>
      <c r="BP29"/>
      <c r="BQ29"/>
      <c r="BR29"/>
      <c r="BS29"/>
      <c r="BT29"/>
      <c r="BU29"/>
      <c r="BV29"/>
      <c r="BW29"/>
      <c r="BX29"/>
      <c r="BY29"/>
      <c r="BZ29"/>
      <c r="CA29"/>
      <c r="CB29"/>
    </row>
    <row r="30" spans="2:83" ht="15" customHeight="1" x14ac:dyDescent="0.3">
      <c r="B30" s="2"/>
      <c r="D30" s="2" t="s">
        <v>253</v>
      </c>
      <c r="E30" s="171">
        <f>'From 2A.1 - Design'!E67</f>
        <v>0</v>
      </c>
      <c r="F30" s="171"/>
      <c r="G30" s="171"/>
      <c r="H30" s="20"/>
      <c r="I30" s="226">
        <f>'From 2A.1 - Design'!I67</f>
        <v>0</v>
      </c>
      <c r="J30" s="226"/>
      <c r="K30" s="226"/>
      <c r="L30" s="4" t="s">
        <v>42</v>
      </c>
      <c r="M30" s="226">
        <f>'From 2A.1 - Design'!N67</f>
        <v>0</v>
      </c>
      <c r="N30" s="226"/>
      <c r="O30" s="226"/>
      <c r="P30" s="4" t="s">
        <v>42</v>
      </c>
      <c r="Q30" s="226">
        <f>'From 2A.1 - Design'!S67</f>
        <v>0</v>
      </c>
      <c r="R30" s="226"/>
      <c r="S30" s="226"/>
      <c r="T30" s="105" t="s">
        <v>43</v>
      </c>
      <c r="V30" s="184"/>
      <c r="W30" s="184"/>
      <c r="X30" s="184"/>
      <c r="Y30" s="184"/>
      <c r="AA30" s="192"/>
      <c r="AB30" s="192"/>
      <c r="AC30" s="192"/>
      <c r="AD30" s="4" t="s">
        <v>42</v>
      </c>
      <c r="AE30" s="192"/>
      <c r="AF30" s="192"/>
      <c r="AG30" s="192"/>
      <c r="AH30" s="4" t="s">
        <v>42</v>
      </c>
      <c r="AI30" s="192"/>
      <c r="AJ30" s="192"/>
      <c r="AK30" s="192"/>
      <c r="AL30" s="4" t="s">
        <v>43</v>
      </c>
      <c r="AM30" s="119">
        <f>IF(ISBLANK(V30),1,2)</f>
        <v>1</v>
      </c>
      <c r="AV30" s="6" t="s">
        <v>112</v>
      </c>
      <c r="AW30" s="22" t="s">
        <v>321</v>
      </c>
      <c r="AX30" s="22"/>
      <c r="AY30" s="22"/>
      <c r="AZ30" s="22"/>
      <c r="BA30" s="22"/>
      <c r="BB30" s="22"/>
      <c r="BC30" s="22"/>
      <c r="BD30" s="22"/>
      <c r="BE30"/>
      <c r="BF30"/>
      <c r="BG30"/>
      <c r="BH30"/>
      <c r="BI30"/>
      <c r="BJ30"/>
      <c r="BK30"/>
      <c r="BL30"/>
      <c r="BM30"/>
      <c r="BN30"/>
      <c r="BO30"/>
      <c r="BP30"/>
      <c r="BQ30"/>
      <c r="BR30"/>
      <c r="BS30"/>
      <c r="BT30"/>
      <c r="BU30"/>
      <c r="BV30"/>
      <c r="BW30"/>
      <c r="BX30"/>
      <c r="BY30"/>
      <c r="BZ30"/>
      <c r="CA30"/>
      <c r="CB30"/>
    </row>
    <row r="31" spans="2:83" ht="15" customHeight="1" x14ac:dyDescent="0.3">
      <c r="B31" s="2"/>
      <c r="D31" s="2" t="s">
        <v>254</v>
      </c>
      <c r="E31" s="171">
        <f>'From 2A.1 - Design'!E68</f>
        <v>0</v>
      </c>
      <c r="F31" s="171"/>
      <c r="G31" s="171"/>
      <c r="H31" s="20"/>
      <c r="I31" s="226">
        <f>'From 2A.1 - Design'!I68</f>
        <v>0</v>
      </c>
      <c r="J31" s="226"/>
      <c r="K31" s="226"/>
      <c r="L31" s="4" t="str">
        <f>IF(E31="V-notch","deg","in")</f>
        <v>in</v>
      </c>
      <c r="M31" s="226">
        <f>'From 2A.1 - Design'!N68</f>
        <v>0</v>
      </c>
      <c r="N31" s="226"/>
      <c r="O31" s="226"/>
      <c r="P31" s="4" t="s">
        <v>42</v>
      </c>
      <c r="Q31" s="226">
        <f>'From 2A.1 - Design'!S68</f>
        <v>0</v>
      </c>
      <c r="R31" s="226"/>
      <c r="S31" s="226"/>
      <c r="T31" s="105" t="s">
        <v>43</v>
      </c>
      <c r="V31" s="185"/>
      <c r="W31" s="185"/>
      <c r="X31" s="185"/>
      <c r="Y31" s="185"/>
      <c r="AA31" s="196"/>
      <c r="AB31" s="196"/>
      <c r="AC31" s="196"/>
      <c r="AD31" s="4" t="str">
        <f>IF(V31="V-notch","deg","in")</f>
        <v>in</v>
      </c>
      <c r="AE31" s="196"/>
      <c r="AF31" s="196"/>
      <c r="AG31" s="196"/>
      <c r="AH31" s="4" t="s">
        <v>42</v>
      </c>
      <c r="AI31" s="196"/>
      <c r="AJ31" s="196"/>
      <c r="AK31" s="196"/>
      <c r="AL31" s="4" t="s">
        <v>43</v>
      </c>
      <c r="AM31" s="119">
        <f>IF(ISBLANK(V31),1,2)</f>
        <v>1</v>
      </c>
      <c r="AW31" s="22" t="s">
        <v>297</v>
      </c>
      <c r="AX31" s="22"/>
      <c r="AY31" s="22"/>
      <c r="AZ31" s="22"/>
      <c r="BA31" s="22"/>
      <c r="BB31" s="22"/>
      <c r="BC31" s="22"/>
      <c r="BD31" s="22"/>
      <c r="BE31"/>
      <c r="BF31"/>
      <c r="BG31"/>
      <c r="BH31"/>
      <c r="BI31"/>
      <c r="BJ31"/>
      <c r="BK31"/>
      <c r="BL31"/>
      <c r="BM31"/>
      <c r="BN31"/>
      <c r="BO31"/>
      <c r="BP31"/>
      <c r="BQ31"/>
      <c r="BR31"/>
      <c r="BS31"/>
      <c r="BT31"/>
      <c r="BU31"/>
      <c r="BV31"/>
      <c r="BW31"/>
      <c r="BX31"/>
      <c r="BY31"/>
      <c r="BZ31"/>
      <c r="CA31"/>
      <c r="CB31"/>
    </row>
    <row r="32" spans="2:83" ht="4.95" customHeight="1" x14ac:dyDescent="0.3">
      <c r="B32" s="2"/>
      <c r="D32" s="2"/>
      <c r="F32" s="20"/>
      <c r="G32" s="20"/>
      <c r="H32" s="20"/>
      <c r="I32" s="20"/>
      <c r="K32" s="52"/>
      <c r="L32" s="52"/>
      <c r="M32" s="52"/>
      <c r="O32" s="52"/>
      <c r="P32" s="52"/>
      <c r="Q32" s="52"/>
      <c r="S32" s="52"/>
      <c r="T32" s="100"/>
      <c r="AF32" s="13"/>
      <c r="AG32" s="13"/>
      <c r="AH32" s="13"/>
      <c r="AI32" s="13"/>
      <c r="AK32" s="13"/>
      <c r="AL32" s="13"/>
      <c r="AX32" s="22"/>
      <c r="AY32" s="22"/>
      <c r="AZ32" s="22"/>
      <c r="BA32" s="22"/>
      <c r="BB32" s="22"/>
      <c r="BC32" s="22"/>
      <c r="BD32" s="22"/>
      <c r="BE32"/>
      <c r="BF32"/>
      <c r="BG32"/>
      <c r="BH32"/>
      <c r="BI32"/>
      <c r="BJ32"/>
      <c r="BK32"/>
      <c r="BL32"/>
      <c r="BM32"/>
      <c r="BN32"/>
      <c r="BO32"/>
      <c r="BP32"/>
      <c r="BQ32"/>
      <c r="BR32"/>
      <c r="BS32"/>
      <c r="BT32"/>
      <c r="BU32"/>
      <c r="BV32"/>
      <c r="BW32" s="48"/>
      <c r="BX32" s="48"/>
      <c r="BY32" s="48"/>
      <c r="BZ32" s="48"/>
      <c r="CA32" s="48"/>
      <c r="CB32" s="48"/>
    </row>
    <row r="33" spans="2:80" ht="15" customHeight="1" x14ac:dyDescent="0.3">
      <c r="B33" s="2"/>
      <c r="D33" s="2" t="s">
        <v>318</v>
      </c>
      <c r="E33" s="133">
        <f>'From 2A.1 - Design'!E70</f>
        <v>0</v>
      </c>
      <c r="F33" s="4" t="s">
        <v>129</v>
      </c>
      <c r="I33" s="133">
        <f>'From 2A.1 - Design'!I70</f>
        <v>0</v>
      </c>
      <c r="J33" s="4" t="s">
        <v>130</v>
      </c>
      <c r="T33" s="105"/>
      <c r="X33" s="2" t="s">
        <v>318</v>
      </c>
      <c r="Y33" s="74"/>
      <c r="Z33" s="4" t="s">
        <v>129</v>
      </c>
      <c r="AB33" s="2"/>
      <c r="AC33" s="74"/>
      <c r="AD33" s="4" t="s">
        <v>130</v>
      </c>
      <c r="AM33" s="119">
        <f>IF(AND(ISBLANK(Y33),ISBLANK(AC33)),1,2)</f>
        <v>1</v>
      </c>
      <c r="AV33" s="6" t="s">
        <v>113</v>
      </c>
      <c r="AW33" s="22" t="s">
        <v>298</v>
      </c>
      <c r="AX33" s="22"/>
      <c r="AY33" s="22"/>
      <c r="AZ33" s="22"/>
      <c r="BA33" s="22"/>
      <c r="BB33" s="22"/>
      <c r="BC33" s="22"/>
      <c r="BD33" s="22"/>
      <c r="BE33"/>
      <c r="BF33"/>
      <c r="BG33"/>
      <c r="BH33"/>
      <c r="BI33"/>
      <c r="BJ33"/>
      <c r="BK33"/>
      <c r="BL33"/>
      <c r="BM33"/>
      <c r="BN33"/>
      <c r="BO33"/>
      <c r="BP33"/>
      <c r="BQ33"/>
      <c r="BR33"/>
      <c r="BS33"/>
      <c r="BT33"/>
      <c r="BU33"/>
      <c r="BV33"/>
      <c r="BW33" s="48"/>
      <c r="BX33" s="48"/>
      <c r="BY33" s="48"/>
      <c r="BZ33" s="48"/>
      <c r="CA33" s="48"/>
      <c r="CB33" s="48"/>
    </row>
    <row r="34" spans="2:80" ht="4.95" customHeight="1" x14ac:dyDescent="0.3">
      <c r="B34" s="2"/>
      <c r="C34" s="2"/>
      <c r="D34" s="2"/>
      <c r="T34" s="105"/>
      <c r="AA34" s="2"/>
      <c r="AB34" s="2"/>
      <c r="AC34" s="2"/>
      <c r="AD34" s="2"/>
      <c r="AV34" s="6"/>
      <c r="AW34" s="22"/>
      <c r="AX34" s="109"/>
      <c r="AY34" s="109"/>
      <c r="AZ34" s="109"/>
      <c r="BA34" s="109"/>
      <c r="BB34" s="109"/>
      <c r="BC34" s="109"/>
      <c r="BD34" s="109"/>
      <c r="BE34" s="107"/>
      <c r="BF34" s="107"/>
      <c r="BG34" s="107"/>
      <c r="BH34" s="107"/>
      <c r="BI34" s="107"/>
      <c r="BJ34" s="107"/>
      <c r="BK34" s="107"/>
      <c r="BL34" s="107"/>
      <c r="BM34" s="107"/>
      <c r="BN34" s="107"/>
      <c r="BO34" s="107"/>
      <c r="BP34" s="107"/>
      <c r="BQ34" s="107"/>
      <c r="BR34" s="107"/>
      <c r="BS34" s="107"/>
      <c r="BT34" s="107"/>
      <c r="BU34" s="107"/>
      <c r="BV34" s="107"/>
      <c r="BW34" s="48"/>
      <c r="BX34" s="48"/>
      <c r="BY34" s="48"/>
      <c r="BZ34" s="48"/>
      <c r="CA34" s="48"/>
      <c r="CB34" s="48"/>
    </row>
    <row r="35" spans="2:80" ht="15" customHeight="1" x14ac:dyDescent="0.3">
      <c r="B35" s="227" t="str">
        <f>'From 2A.1 - Design'!B72</f>
        <v xml:space="preserve">Select: </v>
      </c>
      <c r="C35" s="227"/>
      <c r="D35" s="227"/>
      <c r="E35" s="171">
        <f>'From 2A.1 - Design'!E72</f>
        <v>0</v>
      </c>
      <c r="F35" s="171"/>
      <c r="G35" s="171"/>
      <c r="H35" s="20"/>
      <c r="I35" s="226">
        <f>'From 2A.1 - Design'!I72</f>
        <v>0</v>
      </c>
      <c r="J35" s="226"/>
      <c r="K35" s="226"/>
      <c r="L35" s="4" t="str">
        <f t="shared" ref="L35:L41" si="0">IF(E35="V-notch","deg","in")</f>
        <v>in</v>
      </c>
      <c r="M35" s="226">
        <f>'From 2A.1 - Design'!N72</f>
        <v>0</v>
      </c>
      <c r="N35" s="226"/>
      <c r="O35" s="226"/>
      <c r="P35" s="4" t="s">
        <v>42</v>
      </c>
      <c r="Q35" s="226">
        <f>'From 2A.1 - Design'!S72</f>
        <v>0</v>
      </c>
      <c r="R35" s="226"/>
      <c r="S35" s="226"/>
      <c r="T35" s="105" t="s">
        <v>43</v>
      </c>
      <c r="W35" s="184"/>
      <c r="X35" s="184"/>
      <c r="Y35" s="184"/>
      <c r="AA35" s="192"/>
      <c r="AB35" s="192"/>
      <c r="AC35" s="192"/>
      <c r="AD35" s="4" t="str">
        <f>IF(W35="V-notch","deg","in")</f>
        <v>in</v>
      </c>
      <c r="AE35" s="192"/>
      <c r="AF35" s="192"/>
      <c r="AG35" s="192"/>
      <c r="AH35" s="4" t="s">
        <v>42</v>
      </c>
      <c r="AI35" s="192"/>
      <c r="AJ35" s="192"/>
      <c r="AK35" s="192"/>
      <c r="AL35" s="4" t="s">
        <v>43</v>
      </c>
      <c r="AM35" s="119">
        <f t="shared" ref="AM35:AM41" si="1">IF(ISBLANK(W35),1,2)</f>
        <v>1</v>
      </c>
      <c r="AW35" s="22" t="s">
        <v>218</v>
      </c>
      <c r="BA35" s="22"/>
      <c r="BB35" s="22"/>
      <c r="BC35" s="22"/>
      <c r="BD35" s="22"/>
      <c r="BE35"/>
      <c r="BF35"/>
      <c r="BG35"/>
      <c r="BH35"/>
      <c r="BI35"/>
      <c r="BJ35"/>
      <c r="BK35"/>
      <c r="BL35"/>
      <c r="BM35"/>
      <c r="BN35"/>
      <c r="BO35"/>
      <c r="BP35"/>
      <c r="BQ35"/>
      <c r="BR35"/>
      <c r="BS35"/>
      <c r="BT35"/>
      <c r="BU35"/>
      <c r="BV35"/>
      <c r="BW35" s="48"/>
      <c r="BX35" s="48"/>
      <c r="BY35" s="48"/>
      <c r="BZ35" s="48"/>
      <c r="CA35" s="48"/>
      <c r="CB35" s="48"/>
    </row>
    <row r="36" spans="2:80" ht="15" customHeight="1" x14ac:dyDescent="0.3">
      <c r="B36" s="227" t="str">
        <f>'From 2A.1 - Design'!B73</f>
        <v xml:space="preserve">Select: </v>
      </c>
      <c r="C36" s="227"/>
      <c r="D36" s="227"/>
      <c r="E36" s="171">
        <f>'From 2A.1 - Design'!E73</f>
        <v>0</v>
      </c>
      <c r="F36" s="171"/>
      <c r="G36" s="171"/>
      <c r="H36" s="20"/>
      <c r="I36" s="226">
        <f>'From 2A.1 - Design'!I73</f>
        <v>0</v>
      </c>
      <c r="J36" s="226"/>
      <c r="K36" s="226"/>
      <c r="L36" s="4" t="str">
        <f t="shared" si="0"/>
        <v>in</v>
      </c>
      <c r="M36" s="226">
        <f>'From 2A.1 - Design'!N73</f>
        <v>0</v>
      </c>
      <c r="N36" s="226"/>
      <c r="O36" s="226"/>
      <c r="P36" s="4" t="s">
        <v>42</v>
      </c>
      <c r="Q36" s="226">
        <f>'From 2A.1 - Design'!S73</f>
        <v>0</v>
      </c>
      <c r="R36" s="226"/>
      <c r="S36" s="226"/>
      <c r="T36" s="105" t="s">
        <v>43</v>
      </c>
      <c r="W36" s="184"/>
      <c r="X36" s="184"/>
      <c r="Y36" s="184"/>
      <c r="AA36" s="196"/>
      <c r="AB36" s="196"/>
      <c r="AC36" s="196"/>
      <c r="AD36" s="4" t="str">
        <f t="shared" ref="AD36:AD41" si="2">IF(W36="V-notch","deg","in")</f>
        <v>in</v>
      </c>
      <c r="AE36" s="196"/>
      <c r="AF36" s="196"/>
      <c r="AG36" s="196"/>
      <c r="AH36" s="4" t="s">
        <v>42</v>
      </c>
      <c r="AI36" s="196"/>
      <c r="AJ36" s="196"/>
      <c r="AK36" s="196"/>
      <c r="AL36" s="4" t="s">
        <v>43</v>
      </c>
      <c r="AM36" s="119">
        <f t="shared" si="1"/>
        <v>1</v>
      </c>
      <c r="AV36" s="6" t="s">
        <v>111</v>
      </c>
      <c r="AW36" s="22" t="s">
        <v>101</v>
      </c>
      <c r="AX36" s="22"/>
      <c r="AY36" s="22"/>
      <c r="AZ36" s="22"/>
      <c r="BA36" s="22"/>
      <c r="BB36" s="22"/>
      <c r="BC36" s="22"/>
      <c r="BD36" s="22"/>
      <c r="BE36"/>
      <c r="BF36"/>
      <c r="BG36"/>
      <c r="BH36"/>
      <c r="BI36"/>
      <c r="BJ36"/>
      <c r="BK36"/>
      <c r="BL36"/>
      <c r="BM36"/>
      <c r="BN36"/>
      <c r="BO36"/>
      <c r="BP36"/>
      <c r="BQ36"/>
      <c r="BR36"/>
      <c r="BS36"/>
      <c r="BT36"/>
      <c r="BU36"/>
      <c r="BV36"/>
      <c r="BW36" s="48"/>
      <c r="BX36" s="48"/>
      <c r="BY36" s="48"/>
      <c r="BZ36" s="48"/>
      <c r="CA36" s="48"/>
      <c r="CB36" s="48"/>
    </row>
    <row r="37" spans="2:80" ht="15" customHeight="1" x14ac:dyDescent="0.3">
      <c r="B37" s="227" t="str">
        <f>'From 2A.1 - Design'!B74</f>
        <v xml:space="preserve">Select: </v>
      </c>
      <c r="C37" s="227"/>
      <c r="D37" s="227"/>
      <c r="E37" s="171">
        <f>'From 2A.1 - Design'!E74</f>
        <v>0</v>
      </c>
      <c r="F37" s="171"/>
      <c r="G37" s="171"/>
      <c r="H37" s="20"/>
      <c r="I37" s="226">
        <f>'From 2A.1 - Design'!I74</f>
        <v>0</v>
      </c>
      <c r="J37" s="226"/>
      <c r="K37" s="226"/>
      <c r="L37" s="4" t="str">
        <f t="shared" si="0"/>
        <v>in</v>
      </c>
      <c r="M37" s="226">
        <f>'From 2A.1 - Design'!N74</f>
        <v>0</v>
      </c>
      <c r="N37" s="226"/>
      <c r="O37" s="226"/>
      <c r="P37" s="4" t="s">
        <v>42</v>
      </c>
      <c r="Q37" s="226">
        <f>'From 2A.1 - Design'!S74</f>
        <v>0</v>
      </c>
      <c r="R37" s="226"/>
      <c r="S37" s="226"/>
      <c r="T37" s="105" t="s">
        <v>43</v>
      </c>
      <c r="W37" s="184"/>
      <c r="X37" s="184"/>
      <c r="Y37" s="184"/>
      <c r="AA37" s="196"/>
      <c r="AB37" s="196"/>
      <c r="AC37" s="196"/>
      <c r="AD37" s="4" t="str">
        <f t="shared" si="2"/>
        <v>in</v>
      </c>
      <c r="AE37" s="196"/>
      <c r="AF37" s="196"/>
      <c r="AG37" s="196"/>
      <c r="AH37" s="4" t="s">
        <v>42</v>
      </c>
      <c r="AI37" s="196"/>
      <c r="AJ37" s="196"/>
      <c r="AK37" s="196"/>
      <c r="AL37" s="4" t="s">
        <v>43</v>
      </c>
      <c r="AM37" s="119">
        <f t="shared" si="1"/>
        <v>1</v>
      </c>
      <c r="AU37" s="62">
        <f>AU24+1</f>
        <v>4</v>
      </c>
      <c r="AV37" s="22" t="s">
        <v>93</v>
      </c>
      <c r="AX37" s="22"/>
      <c r="AY37" s="22"/>
      <c r="AZ37" s="22"/>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row>
    <row r="38" spans="2:80" ht="15" customHeight="1" x14ac:dyDescent="0.3">
      <c r="B38" s="227" t="str">
        <f>'From 2A.1 - Design'!B75</f>
        <v xml:space="preserve">Select: </v>
      </c>
      <c r="C38" s="227"/>
      <c r="D38" s="227"/>
      <c r="E38" s="171">
        <f>'From 2A.1 - Design'!E75</f>
        <v>0</v>
      </c>
      <c r="F38" s="171"/>
      <c r="G38" s="171"/>
      <c r="H38" s="20"/>
      <c r="I38" s="226">
        <f>'From 2A.1 - Design'!I75</f>
        <v>0</v>
      </c>
      <c r="J38" s="226"/>
      <c r="K38" s="226"/>
      <c r="L38" s="4" t="str">
        <f t="shared" si="0"/>
        <v>in</v>
      </c>
      <c r="M38" s="226">
        <f>'From 2A.1 - Design'!N75</f>
        <v>0</v>
      </c>
      <c r="N38" s="226"/>
      <c r="O38" s="226"/>
      <c r="P38" s="4" t="s">
        <v>42</v>
      </c>
      <c r="Q38" s="226">
        <f>'From 2A.1 - Design'!S75</f>
        <v>0</v>
      </c>
      <c r="R38" s="226"/>
      <c r="S38" s="226"/>
      <c r="T38" s="105" t="s">
        <v>43</v>
      </c>
      <c r="W38" s="184"/>
      <c r="X38" s="184"/>
      <c r="Y38" s="184"/>
      <c r="AA38" s="196"/>
      <c r="AB38" s="196"/>
      <c r="AC38" s="196"/>
      <c r="AD38" s="4" t="str">
        <f t="shared" si="2"/>
        <v>in</v>
      </c>
      <c r="AE38" s="196"/>
      <c r="AF38" s="196"/>
      <c r="AG38" s="196"/>
      <c r="AH38" s="4" t="s">
        <v>42</v>
      </c>
      <c r="AI38" s="196"/>
      <c r="AJ38" s="196"/>
      <c r="AK38" s="196"/>
      <c r="AL38" s="4" t="s">
        <v>43</v>
      </c>
      <c r="AM38" s="119">
        <f t="shared" si="1"/>
        <v>1</v>
      </c>
      <c r="AV38" s="6" t="s">
        <v>96</v>
      </c>
      <c r="AW38" s="4" t="s">
        <v>401</v>
      </c>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row>
    <row r="39" spans="2:80" ht="15" customHeight="1" x14ac:dyDescent="0.3">
      <c r="B39" s="227" t="str">
        <f>'From 2A.1 - Design'!B76</f>
        <v xml:space="preserve">Select: </v>
      </c>
      <c r="C39" s="227"/>
      <c r="D39" s="227"/>
      <c r="E39" s="171">
        <f>'From 2A.1 - Design'!E76</f>
        <v>0</v>
      </c>
      <c r="F39" s="171"/>
      <c r="G39" s="171"/>
      <c r="H39" s="20"/>
      <c r="I39" s="226">
        <f>'From 2A.1 - Design'!I76</f>
        <v>0</v>
      </c>
      <c r="J39" s="226"/>
      <c r="K39" s="226"/>
      <c r="L39" s="4" t="str">
        <f t="shared" si="0"/>
        <v>in</v>
      </c>
      <c r="M39" s="226">
        <f>'From 2A.1 - Design'!N76</f>
        <v>0</v>
      </c>
      <c r="N39" s="226"/>
      <c r="O39" s="226"/>
      <c r="P39" s="4" t="s">
        <v>42</v>
      </c>
      <c r="Q39" s="226">
        <f>'From 2A.1 - Design'!S76</f>
        <v>0</v>
      </c>
      <c r="R39" s="226"/>
      <c r="S39" s="226"/>
      <c r="T39" s="105" t="s">
        <v>43</v>
      </c>
      <c r="W39" s="184"/>
      <c r="X39" s="184"/>
      <c r="Y39" s="184"/>
      <c r="AA39" s="196"/>
      <c r="AB39" s="196"/>
      <c r="AC39" s="196"/>
      <c r="AD39" s="4" t="str">
        <f t="shared" si="2"/>
        <v>in</v>
      </c>
      <c r="AE39" s="196"/>
      <c r="AF39" s="196"/>
      <c r="AG39" s="196"/>
      <c r="AH39" s="4" t="s">
        <v>42</v>
      </c>
      <c r="AI39" s="196"/>
      <c r="AJ39" s="196"/>
      <c r="AK39" s="196"/>
      <c r="AL39" s="4" t="s">
        <v>43</v>
      </c>
      <c r="AM39" s="119">
        <f t="shared" si="1"/>
        <v>1</v>
      </c>
      <c r="AV39" s="6" t="s">
        <v>97</v>
      </c>
      <c r="AW39" s="22" t="s">
        <v>102</v>
      </c>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row>
    <row r="40" spans="2:80" ht="15" customHeight="1" x14ac:dyDescent="0.3">
      <c r="B40" s="227" t="str">
        <f>'From 2A.1 - Design'!B77</f>
        <v xml:space="preserve">Select: </v>
      </c>
      <c r="C40" s="227"/>
      <c r="D40" s="227"/>
      <c r="E40" s="171">
        <f>'From 2A.1 - Design'!E77</f>
        <v>0</v>
      </c>
      <c r="F40" s="171"/>
      <c r="G40" s="171"/>
      <c r="H40" s="20"/>
      <c r="I40" s="226">
        <f>'From 2A.1 - Design'!I77</f>
        <v>0</v>
      </c>
      <c r="J40" s="226"/>
      <c r="K40" s="226"/>
      <c r="L40" s="4" t="str">
        <f t="shared" si="0"/>
        <v>in</v>
      </c>
      <c r="M40" s="226">
        <f>'From 2A.1 - Design'!N77</f>
        <v>0</v>
      </c>
      <c r="N40" s="226"/>
      <c r="O40" s="226"/>
      <c r="P40" s="4" t="s">
        <v>42</v>
      </c>
      <c r="Q40" s="226">
        <f>'From 2A.1 - Design'!S77</f>
        <v>0</v>
      </c>
      <c r="R40" s="226"/>
      <c r="S40" s="226"/>
      <c r="T40" s="105" t="s">
        <v>43</v>
      </c>
      <c r="W40" s="184"/>
      <c r="X40" s="184"/>
      <c r="Y40" s="184"/>
      <c r="AA40" s="196"/>
      <c r="AB40" s="196"/>
      <c r="AC40" s="196"/>
      <c r="AD40" s="4" t="str">
        <f t="shared" si="2"/>
        <v>in</v>
      </c>
      <c r="AE40" s="196"/>
      <c r="AF40" s="196"/>
      <c r="AG40" s="196"/>
      <c r="AH40" s="4" t="s">
        <v>42</v>
      </c>
      <c r="AI40" s="196"/>
      <c r="AJ40" s="196"/>
      <c r="AK40" s="196"/>
      <c r="AL40" s="4" t="s">
        <v>43</v>
      </c>
      <c r="AM40" s="119">
        <f t="shared" si="1"/>
        <v>1</v>
      </c>
      <c r="AV40" s="6" t="s">
        <v>112</v>
      </c>
      <c r="AW40" s="22" t="s">
        <v>299</v>
      </c>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row>
    <row r="41" spans="2:80" ht="15" customHeight="1" x14ac:dyDescent="0.3">
      <c r="B41" s="227" t="str">
        <f>'From 2A.1 - Design'!B78</f>
        <v xml:space="preserve">Select: </v>
      </c>
      <c r="C41" s="227"/>
      <c r="D41" s="227"/>
      <c r="E41" s="171">
        <f>'From 2A.1 - Design'!E78</f>
        <v>0</v>
      </c>
      <c r="F41" s="171"/>
      <c r="G41" s="171"/>
      <c r="H41" s="20"/>
      <c r="I41" s="226">
        <f>'From 2A.1 - Design'!I78</f>
        <v>0</v>
      </c>
      <c r="J41" s="226"/>
      <c r="K41" s="226"/>
      <c r="L41" s="4" t="str">
        <f t="shared" si="0"/>
        <v>in</v>
      </c>
      <c r="M41" s="226">
        <f>'From 2A.1 - Design'!N78</f>
        <v>0</v>
      </c>
      <c r="N41" s="226"/>
      <c r="O41" s="226"/>
      <c r="P41" s="4" t="s">
        <v>42</v>
      </c>
      <c r="Q41" s="226">
        <f>'From 2A.1 - Design'!S78</f>
        <v>0</v>
      </c>
      <c r="R41" s="226"/>
      <c r="S41" s="226"/>
      <c r="T41" s="105" t="s">
        <v>43</v>
      </c>
      <c r="W41" s="184"/>
      <c r="X41" s="184"/>
      <c r="Y41" s="184"/>
      <c r="AA41" s="196"/>
      <c r="AB41" s="196"/>
      <c r="AC41" s="196"/>
      <c r="AD41" s="4" t="str">
        <f t="shared" si="2"/>
        <v>in</v>
      </c>
      <c r="AE41" s="242"/>
      <c r="AF41" s="242"/>
      <c r="AG41" s="242"/>
      <c r="AH41" s="4" t="s">
        <v>42</v>
      </c>
      <c r="AI41" s="196"/>
      <c r="AJ41" s="196"/>
      <c r="AK41" s="196"/>
      <c r="AL41" s="4" t="s">
        <v>43</v>
      </c>
      <c r="AM41" s="119">
        <f t="shared" si="1"/>
        <v>1</v>
      </c>
      <c r="AV41" s="6" t="s">
        <v>113</v>
      </c>
      <c r="AW41" s="22" t="s">
        <v>103</v>
      </c>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row>
    <row r="42" spans="2:80" ht="4.95" customHeight="1" x14ac:dyDescent="0.3">
      <c r="B42" s="2"/>
      <c r="C42" s="2"/>
      <c r="D42" s="2"/>
      <c r="E42" s="2"/>
      <c r="K42" s="13"/>
      <c r="L42" s="13"/>
      <c r="M42" s="13"/>
      <c r="N42" s="13"/>
      <c r="P42" s="13"/>
      <c r="Q42" s="13"/>
      <c r="R42" s="13"/>
      <c r="S42" s="13"/>
      <c r="U42" s="13"/>
      <c r="V42" s="13"/>
      <c r="W42" s="13"/>
      <c r="X42" s="13"/>
      <c r="AF42" s="13"/>
      <c r="AG42" s="13"/>
      <c r="AH42" s="13"/>
      <c r="AI42" s="13"/>
      <c r="AK42" s="13"/>
      <c r="AL42" s="13"/>
      <c r="BW42" s="48"/>
      <c r="BX42" s="48"/>
      <c r="BY42" s="48"/>
      <c r="BZ42" s="48"/>
      <c r="CA42" s="48"/>
      <c r="CB42" s="48"/>
    </row>
    <row r="43" spans="2:80" ht="15" customHeight="1" x14ac:dyDescent="0.3">
      <c r="B43" s="232" t="s">
        <v>15</v>
      </c>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103"/>
      <c r="AN43" s="103"/>
      <c r="AV43" s="6" t="s">
        <v>111</v>
      </c>
      <c r="AW43" s="22" t="s">
        <v>104</v>
      </c>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row>
    <row r="44" spans="2:80" ht="15" customHeight="1" x14ac:dyDescent="0.3">
      <c r="B44" s="1" t="s">
        <v>54</v>
      </c>
      <c r="C44" s="1"/>
      <c r="D44" s="1"/>
      <c r="E44" s="1"/>
      <c r="J44" s="1"/>
      <c r="K44" s="1"/>
      <c r="L44" s="1"/>
      <c r="M44" s="1"/>
      <c r="N44" s="1"/>
      <c r="O44" s="1"/>
      <c r="P44" s="1"/>
      <c r="Q44" s="1"/>
      <c r="R44" s="1"/>
      <c r="S44" s="1"/>
      <c r="T44" s="105"/>
      <c r="U44" s="1" t="s">
        <v>55</v>
      </c>
      <c r="W44" s="1"/>
      <c r="X44" s="1"/>
      <c r="AB44" s="1"/>
      <c r="AC44" s="1"/>
      <c r="AD44" s="1"/>
      <c r="AE44" s="1"/>
      <c r="AF44" s="1"/>
      <c r="AG44" s="1"/>
      <c r="AH44" s="1"/>
      <c r="AI44" s="1"/>
      <c r="AJ44" s="1"/>
      <c r="AK44" s="1"/>
      <c r="AL44" s="1"/>
      <c r="AM44" s="119">
        <f>SUM(AM45:AM47,AO45:AO47)</f>
        <v>0</v>
      </c>
      <c r="AN44" s="110" t="s">
        <v>81</v>
      </c>
      <c r="AV44" s="6" t="s">
        <v>114</v>
      </c>
      <c r="AW44" s="22" t="s">
        <v>105</v>
      </c>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row>
    <row r="45" spans="2:80" ht="15" customHeight="1" x14ac:dyDescent="0.3">
      <c r="C45" s="2"/>
      <c r="D45" s="2" t="s">
        <v>29</v>
      </c>
      <c r="E45" s="171">
        <f>'From 2A.1 - Design'!F81</f>
        <v>0</v>
      </c>
      <c r="F45" s="171"/>
      <c r="G45" s="171"/>
      <c r="H45" s="171"/>
      <c r="N45" s="2" t="s">
        <v>32</v>
      </c>
      <c r="O45" s="171">
        <f>'From 2A.1 - Design'!O81</f>
        <v>0</v>
      </c>
      <c r="P45" s="171"/>
      <c r="Q45" s="171"/>
      <c r="R45" s="171"/>
      <c r="T45" s="105"/>
      <c r="X45" s="2" t="s">
        <v>29</v>
      </c>
      <c r="Y45" s="184"/>
      <c r="Z45" s="184"/>
      <c r="AA45" s="184"/>
      <c r="AB45" s="184"/>
      <c r="AG45" s="2" t="s">
        <v>32</v>
      </c>
      <c r="AH45" s="184"/>
      <c r="AI45" s="184"/>
      <c r="AJ45" s="184"/>
      <c r="AK45" s="184"/>
      <c r="AM45" s="119">
        <f>IF(ISBLANK(Y45),0,1)</f>
        <v>0</v>
      </c>
      <c r="AN45" s="110" t="s">
        <v>23</v>
      </c>
      <c r="AO45" s="119">
        <f>IF(ISBLANK(AH45),0,1)</f>
        <v>0</v>
      </c>
      <c r="AP45" s="110" t="s">
        <v>33</v>
      </c>
      <c r="AQ45" s="110"/>
      <c r="AR45" s="110"/>
      <c r="AU45" s="4"/>
      <c r="AV45" s="6" t="s">
        <v>290</v>
      </c>
      <c r="AW45" s="22" t="s">
        <v>106</v>
      </c>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row>
    <row r="46" spans="2:80" ht="15" customHeight="1" x14ac:dyDescent="0.3">
      <c r="C46" s="2"/>
      <c r="D46" s="2" t="s">
        <v>40</v>
      </c>
      <c r="E46" s="238">
        <f>'From 2A.1 - Design'!F82</f>
        <v>0</v>
      </c>
      <c r="F46" s="238"/>
      <c r="G46" s="238"/>
      <c r="H46" s="4" t="s">
        <v>43</v>
      </c>
      <c r="I46" s="52"/>
      <c r="N46" s="2" t="s">
        <v>44</v>
      </c>
      <c r="O46" s="238">
        <f>'From 2A.1 - Design'!O82</f>
        <v>0</v>
      </c>
      <c r="P46" s="238"/>
      <c r="Q46" s="238"/>
      <c r="R46" s="4" t="s">
        <v>43</v>
      </c>
      <c r="T46" s="105"/>
      <c r="U46" s="2"/>
      <c r="X46" s="2" t="s">
        <v>40</v>
      </c>
      <c r="Y46" s="196"/>
      <c r="Z46" s="196"/>
      <c r="AA46" s="196"/>
      <c r="AB46" s="4" t="s">
        <v>43</v>
      </c>
      <c r="AG46" s="2" t="s">
        <v>44</v>
      </c>
      <c r="AH46" s="196"/>
      <c r="AI46" s="196"/>
      <c r="AJ46" s="196"/>
      <c r="AK46" s="4" t="s">
        <v>43</v>
      </c>
      <c r="AM46" s="119">
        <f>IF(ISBLANK(Y46),0,1)</f>
        <v>0</v>
      </c>
      <c r="AN46" s="110" t="s">
        <v>50</v>
      </c>
      <c r="AO46" s="119">
        <f>IF(ISBLANK(AH46),0,1)</f>
        <v>0</v>
      </c>
      <c r="AP46" s="110" t="s">
        <v>78</v>
      </c>
      <c r="AQ46" s="110"/>
      <c r="AR46" s="110"/>
      <c r="AU46" s="62">
        <f>AU37+1</f>
        <v>5</v>
      </c>
      <c r="AV46" s="22" t="str">
        <f>"Form 3A – Detention Pond As-built Certification Form shall be approved by the "&amp;Tables!C23&amp;" prior to:"</f>
        <v>Form 3A – Detention Pond As-built Certification Form shall be approved by the City prior to:</v>
      </c>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row>
    <row r="47" spans="2:80" ht="15" customHeight="1" x14ac:dyDescent="0.3">
      <c r="C47" s="2"/>
      <c r="D47" s="2" t="s">
        <v>258</v>
      </c>
      <c r="E47" s="238">
        <f>'From 2A.1 - Design'!W82</f>
        <v>0</v>
      </c>
      <c r="F47" s="238"/>
      <c r="G47" s="238"/>
      <c r="H47" s="4" t="s">
        <v>43</v>
      </c>
      <c r="I47" s="52"/>
      <c r="N47" s="2" t="s">
        <v>257</v>
      </c>
      <c r="O47" s="238">
        <f>'From 2A.1 - Design'!AF82</f>
        <v>0</v>
      </c>
      <c r="P47" s="238"/>
      <c r="Q47" s="238"/>
      <c r="R47" s="4" t="s">
        <v>43</v>
      </c>
      <c r="T47" s="111"/>
      <c r="U47" s="2"/>
      <c r="X47" s="2" t="s">
        <v>258</v>
      </c>
      <c r="Y47" s="196"/>
      <c r="Z47" s="196"/>
      <c r="AA47" s="196"/>
      <c r="AB47" s="4" t="s">
        <v>43</v>
      </c>
      <c r="AG47" s="2" t="s">
        <v>257</v>
      </c>
      <c r="AH47" s="196"/>
      <c r="AI47" s="196"/>
      <c r="AJ47" s="196"/>
      <c r="AK47" s="4" t="s">
        <v>43</v>
      </c>
      <c r="AM47" s="119">
        <f>IF(ISBLANK(Y47),0,1)</f>
        <v>0</v>
      </c>
      <c r="AN47" s="110" t="s">
        <v>79</v>
      </c>
      <c r="AO47" s="119">
        <f>IF(ISBLANK(AH47),0,1)</f>
        <v>0</v>
      </c>
      <c r="AP47" s="110" t="s">
        <v>80</v>
      </c>
      <c r="AQ47" s="110"/>
      <c r="AR47" s="110"/>
      <c r="AV47" s="6" t="s">
        <v>96</v>
      </c>
      <c r="AW47" s="22" t="s">
        <v>110</v>
      </c>
      <c r="BE47" s="48"/>
      <c r="BF47" s="48"/>
      <c r="BG47" s="48"/>
      <c r="BH47" s="48"/>
      <c r="BI47" s="48"/>
      <c r="BJ47" s="48"/>
      <c r="BK47" s="48"/>
      <c r="BL47" s="48"/>
      <c r="BM47" s="48"/>
      <c r="BN47" s="48"/>
      <c r="BO47" s="48"/>
      <c r="BP47" s="48"/>
      <c r="BQ47" s="48"/>
      <c r="BR47" s="48"/>
      <c r="BS47" s="48"/>
      <c r="BT47" s="48"/>
      <c r="BU47" s="48"/>
      <c r="BV47" s="48"/>
    </row>
    <row r="48" spans="2:80" ht="4.95" customHeight="1" x14ac:dyDescent="0.3">
      <c r="B48" s="2"/>
      <c r="C48" s="2"/>
      <c r="D48" s="2"/>
      <c r="E48" s="2"/>
      <c r="F48" s="13"/>
      <c r="G48" s="13"/>
      <c r="H48" s="13"/>
      <c r="I48" s="13"/>
      <c r="O48" s="2"/>
      <c r="P48" s="13"/>
      <c r="Q48" s="13"/>
      <c r="R48" s="13"/>
      <c r="S48" s="13"/>
      <c r="Y48" s="2"/>
      <c r="Z48" s="2"/>
      <c r="AA48" s="13"/>
      <c r="AB48" s="13"/>
      <c r="AC48" s="13"/>
      <c r="AD48" s="13"/>
      <c r="AJ48" s="2"/>
      <c r="AK48" s="13"/>
      <c r="AL48" s="13"/>
      <c r="AM48" s="101"/>
      <c r="AN48" s="101"/>
      <c r="AU48" s="4"/>
      <c r="BE48" s="48"/>
      <c r="BF48" s="48"/>
      <c r="BG48" s="48"/>
      <c r="BH48" s="48"/>
      <c r="BI48" s="48"/>
      <c r="BJ48" s="48"/>
      <c r="BK48" s="48"/>
      <c r="BL48" s="48"/>
      <c r="BM48" s="48"/>
      <c r="BN48" s="48"/>
      <c r="BO48" s="48"/>
      <c r="BP48" s="48"/>
      <c r="BQ48" s="48"/>
      <c r="BR48" s="48"/>
      <c r="BS48" s="48"/>
      <c r="BT48" s="48"/>
      <c r="BU48" s="48"/>
      <c r="BV48" s="48"/>
    </row>
    <row r="49" spans="1:74" s="9" customFormat="1" ht="15" customHeight="1" x14ac:dyDescent="0.3">
      <c r="A49" s="4"/>
      <c r="B49" s="234" t="s">
        <v>16</v>
      </c>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101"/>
      <c r="AN49" s="101"/>
      <c r="AO49" s="101"/>
      <c r="AP49" s="101"/>
      <c r="AQ49" s="101"/>
      <c r="AR49" s="101"/>
      <c r="AS49" s="101"/>
      <c r="AU49" s="112"/>
      <c r="AV49" s="6" t="s">
        <v>97</v>
      </c>
      <c r="AW49" s="22" t="s">
        <v>107</v>
      </c>
      <c r="AX49" s="4"/>
      <c r="AY49" s="4"/>
      <c r="AZ49" s="4"/>
      <c r="BA49" s="4"/>
      <c r="BB49" s="4"/>
      <c r="BC49" s="4"/>
      <c r="BD49" s="4"/>
      <c r="BE49" s="48"/>
      <c r="BF49" s="48"/>
      <c r="BG49" s="48"/>
      <c r="BH49" s="48"/>
      <c r="BI49" s="48"/>
      <c r="BJ49" s="48"/>
      <c r="BK49" s="48"/>
      <c r="BL49" s="48"/>
      <c r="BM49" s="48"/>
      <c r="BN49" s="48"/>
      <c r="BO49" s="48"/>
      <c r="BP49" s="48"/>
      <c r="BQ49" s="48"/>
      <c r="BR49" s="48"/>
      <c r="BS49" s="48"/>
      <c r="BT49" s="48"/>
      <c r="BU49" s="48"/>
      <c r="BV49" s="48"/>
    </row>
    <row r="50" spans="1:74" ht="15" customHeight="1" x14ac:dyDescent="0.3">
      <c r="B50" s="1" t="s">
        <v>54</v>
      </c>
      <c r="D50" s="1"/>
      <c r="E50" s="1"/>
      <c r="F50" s="1"/>
      <c r="G50" s="1"/>
      <c r="I50" s="10" t="s">
        <v>46</v>
      </c>
      <c r="J50" s="235">
        <f>'From 2A.1 - Design'!O84</f>
        <v>0</v>
      </c>
      <c r="K50" s="235"/>
      <c r="L50" s="235"/>
      <c r="M50" s="235"/>
      <c r="Q50" s="99"/>
      <c r="R50" s="99"/>
      <c r="S50" s="99"/>
      <c r="T50" s="105"/>
      <c r="U50" s="1" t="s">
        <v>55</v>
      </c>
      <c r="W50" s="1"/>
      <c r="X50" s="1"/>
      <c r="AB50" s="1"/>
      <c r="AC50" s="10" t="s">
        <v>46</v>
      </c>
      <c r="AD50" s="199"/>
      <c r="AE50" s="199"/>
      <c r="AF50" s="199"/>
      <c r="AG50" s="199"/>
      <c r="AH50" s="10"/>
      <c r="AI50" s="10"/>
      <c r="AM50" s="119">
        <f>IF(ISBLANK(AD50),0,1)</f>
        <v>0</v>
      </c>
      <c r="AN50" s="110" t="s">
        <v>155</v>
      </c>
      <c r="AO50" s="119">
        <f>SUM(AM50:AM51)</f>
        <v>0</v>
      </c>
      <c r="AP50" s="110" t="s">
        <v>157</v>
      </c>
      <c r="AQ50" s="110"/>
      <c r="AR50" s="110"/>
      <c r="BE50" s="48"/>
      <c r="BF50" s="48"/>
      <c r="BG50" s="48"/>
      <c r="BH50" s="48"/>
      <c r="BI50" s="48"/>
      <c r="BJ50" s="48"/>
      <c r="BK50" s="48"/>
      <c r="BL50" s="48"/>
      <c r="BM50" s="48"/>
      <c r="BN50" s="48"/>
      <c r="BO50" s="48"/>
      <c r="BP50" s="48"/>
      <c r="BQ50" s="48"/>
      <c r="BR50" s="48"/>
      <c r="BS50" s="48"/>
      <c r="BT50" s="48"/>
      <c r="BU50" s="48"/>
      <c r="BV50" s="48"/>
    </row>
    <row r="51" spans="1:74" ht="15" customHeight="1" x14ac:dyDescent="0.3">
      <c r="B51" s="1"/>
      <c r="I51" s="2" t="s">
        <v>47</v>
      </c>
      <c r="J51" s="236">
        <f>'From 2A.1 - Design'!W84</f>
        <v>0</v>
      </c>
      <c r="K51" s="236"/>
      <c r="L51" s="236"/>
      <c r="M51" s="236"/>
      <c r="Q51" s="99"/>
      <c r="R51" s="99"/>
      <c r="S51" s="99"/>
      <c r="T51" s="111"/>
      <c r="U51" s="2"/>
      <c r="AC51" s="2" t="s">
        <v>47</v>
      </c>
      <c r="AD51" s="237"/>
      <c r="AE51" s="237"/>
      <c r="AF51" s="237"/>
      <c r="AG51" s="237"/>
      <c r="AH51" s="2"/>
      <c r="AI51" s="2"/>
      <c r="AM51" s="119">
        <f>IF(ISBLANK(AD51),0,1)</f>
        <v>0</v>
      </c>
      <c r="AN51" s="110" t="s">
        <v>156</v>
      </c>
      <c r="BE51" s="48"/>
      <c r="BF51" s="48"/>
      <c r="BG51" s="48"/>
      <c r="BH51" s="48"/>
      <c r="BI51" s="48"/>
      <c r="BJ51" s="48"/>
      <c r="BK51" s="48"/>
      <c r="BL51" s="48"/>
      <c r="BM51" s="48"/>
      <c r="BN51" s="48"/>
      <c r="BO51" s="48"/>
      <c r="BP51" s="48"/>
      <c r="BQ51" s="48"/>
      <c r="BR51" s="48"/>
      <c r="BS51" s="48"/>
      <c r="BT51" s="48"/>
      <c r="BU51" s="48"/>
      <c r="BV51" s="48"/>
    </row>
    <row r="52" spans="1:74" ht="4.95" customHeight="1" x14ac:dyDescent="0.3">
      <c r="B52" s="1"/>
      <c r="C52" s="1"/>
      <c r="D52" s="1"/>
      <c r="E52" s="1"/>
      <c r="K52" s="2"/>
      <c r="L52" s="2"/>
      <c r="M52" s="2"/>
      <c r="N52" s="2"/>
      <c r="O52" s="16"/>
      <c r="P52" s="16"/>
      <c r="Q52" s="16"/>
      <c r="R52" s="16"/>
      <c r="S52" s="16"/>
      <c r="T52" s="16"/>
      <c r="Y52" s="2"/>
      <c r="Z52" s="2"/>
      <c r="AF52" s="2"/>
      <c r="AG52" s="2"/>
      <c r="AH52" s="2"/>
      <c r="AI52" s="2"/>
      <c r="AJ52" s="16"/>
      <c r="AK52" s="16"/>
      <c r="AL52" s="16"/>
      <c r="AN52" s="110"/>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row>
    <row r="53" spans="1:74" ht="15" customHeight="1" x14ac:dyDescent="0.3">
      <c r="B53" s="233" t="s">
        <v>56</v>
      </c>
      <c r="C53" s="233"/>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row>
    <row r="54" spans="1:74" ht="15" customHeight="1" x14ac:dyDescent="0.3">
      <c r="B54" s="1" t="s">
        <v>54</v>
      </c>
      <c r="D54" s="1"/>
      <c r="E54" s="1"/>
      <c r="G54" s="1"/>
      <c r="H54" s="1"/>
      <c r="J54" s="14" t="s">
        <v>57</v>
      </c>
      <c r="K54" s="243">
        <f>'From 2A.1 - Design'!H98</f>
        <v>0</v>
      </c>
      <c r="L54" s="243"/>
      <c r="M54" s="243"/>
      <c r="N54" s="4" t="s">
        <v>37</v>
      </c>
      <c r="P54" s="4" t="s">
        <v>256</v>
      </c>
      <c r="Q54" s="209">
        <f>'From 2A.1 - Design'!AD98</f>
        <v>0</v>
      </c>
      <c r="R54" s="244"/>
      <c r="S54" s="244"/>
      <c r="T54" s="111"/>
      <c r="U54" s="1" t="s">
        <v>55</v>
      </c>
      <c r="AB54" s="14" t="s">
        <v>58</v>
      </c>
      <c r="AC54" s="197"/>
      <c r="AD54" s="197"/>
      <c r="AE54" s="197"/>
      <c r="AF54" s="4" t="s">
        <v>37</v>
      </c>
      <c r="AH54" s="4" t="s">
        <v>256</v>
      </c>
      <c r="AI54" s="192"/>
      <c r="AJ54" s="192"/>
      <c r="AK54" s="192"/>
      <c r="AM54" s="119" t="str">
        <f>IF(ISBLANK(AC54),"",IF(OR(AC54=K54,AC54&gt;K54),1,2))</f>
        <v/>
      </c>
      <c r="AN54" s="110" t="s">
        <v>160</v>
      </c>
    </row>
    <row r="55" spans="1:74" ht="4.95" customHeight="1" x14ac:dyDescent="0.3">
      <c r="B55" s="1"/>
      <c r="C55" s="1"/>
      <c r="D55" s="1"/>
      <c r="E55" s="1"/>
      <c r="F55" s="1"/>
      <c r="G55" s="1"/>
      <c r="H55" s="1"/>
      <c r="I55" s="1"/>
      <c r="O55" s="14"/>
      <c r="P55" s="19"/>
      <c r="Q55" s="19"/>
      <c r="R55" s="19"/>
      <c r="S55" s="19"/>
      <c r="Y55" s="2"/>
      <c r="Z55" s="14"/>
      <c r="AA55" s="114"/>
      <c r="AB55" s="114"/>
      <c r="AC55" s="114"/>
      <c r="AD55" s="114"/>
      <c r="AJ55" s="14"/>
      <c r="AK55" s="115"/>
      <c r="AL55" s="115"/>
      <c r="AU55" s="116"/>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row>
    <row r="56" spans="1:74" ht="15" customHeight="1" x14ac:dyDescent="0.3">
      <c r="AM56" s="119">
        <f>IF(OR(K54=0,ISBLANK(AC54)),2,1)</f>
        <v>2</v>
      </c>
      <c r="AU56" s="116"/>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row>
    <row r="57" spans="1:74" ht="15" customHeight="1" x14ac:dyDescent="0.3">
      <c r="B57" s="167">
        <f>Tables!$C$13</f>
        <v>45566</v>
      </c>
      <c r="C57" s="167"/>
      <c r="D57" s="167"/>
      <c r="E57" s="167"/>
      <c r="F57" s="167"/>
      <c r="G57" s="96"/>
      <c r="H57" s="96"/>
      <c r="I57" s="96"/>
      <c r="R57" s="189" t="s">
        <v>279</v>
      </c>
      <c r="S57" s="189"/>
      <c r="T57" s="189"/>
      <c r="U57" s="189"/>
      <c r="AU57" s="116"/>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row>
    <row r="58" spans="1:74" ht="15" customHeight="1" x14ac:dyDescent="0.3">
      <c r="C58" s="2" t="s">
        <v>1</v>
      </c>
      <c r="D58" s="171">
        <f>IF(ISBLANK($E$15),"",$E$15)</f>
        <v>0</v>
      </c>
      <c r="E58" s="171"/>
      <c r="F58" s="171"/>
      <c r="G58" s="171"/>
      <c r="H58" s="171"/>
      <c r="I58" s="171"/>
      <c r="J58" s="171"/>
      <c r="K58" s="171"/>
      <c r="L58" s="171"/>
      <c r="M58" s="171"/>
      <c r="N58" s="171"/>
      <c r="O58" s="171"/>
      <c r="P58" s="171"/>
      <c r="Q58" s="171"/>
      <c r="R58" s="171"/>
      <c r="S58" s="171"/>
      <c r="T58" s="171"/>
      <c r="U58" s="171"/>
      <c r="V58" s="171"/>
      <c r="W58" s="171"/>
      <c r="X58" s="171"/>
      <c r="Y58" s="171"/>
      <c r="Z58" s="171"/>
      <c r="AF58" s="2" t="s">
        <v>20</v>
      </c>
      <c r="AG58" s="172">
        <f>IF(ISBLANK($AF$15),0,$AF$15)</f>
        <v>0</v>
      </c>
      <c r="AH58" s="172"/>
      <c r="AI58" s="172"/>
      <c r="AJ58" s="172"/>
      <c r="AK58" s="172"/>
    </row>
    <row r="59" spans="1:74" ht="15" customHeight="1" x14ac:dyDescent="0.3">
      <c r="F59" s="3"/>
      <c r="G59" s="3"/>
      <c r="H59" s="3"/>
      <c r="I59" s="3"/>
      <c r="J59" s="3"/>
      <c r="K59" s="2"/>
      <c r="L59" s="2"/>
      <c r="M59" s="2"/>
      <c r="N59" s="2"/>
      <c r="O59" s="3"/>
      <c r="P59" s="8"/>
      <c r="Q59" s="8"/>
      <c r="R59" s="8"/>
      <c r="S59" s="8"/>
      <c r="T59" s="8"/>
      <c r="U59" s="8"/>
      <c r="V59" s="8"/>
      <c r="W59" s="8"/>
      <c r="X59" s="8"/>
      <c r="Y59" s="8"/>
      <c r="Z59" s="8"/>
      <c r="AA59" s="8"/>
      <c r="AB59" s="8"/>
      <c r="AC59" s="8"/>
      <c r="AD59" s="8"/>
      <c r="AE59" s="8"/>
      <c r="AF59" s="2" t="s">
        <v>34</v>
      </c>
      <c r="AG59" s="168">
        <f>IF(ISBLANK($AF$16),"",$AF$16)</f>
        <v>0</v>
      </c>
      <c r="AH59" s="168"/>
      <c r="AI59" s="168"/>
      <c r="AJ59" s="168"/>
      <c r="AK59" s="168"/>
    </row>
    <row r="60" spans="1:74" ht="4.95" customHeight="1" x14ac:dyDescent="0.3">
      <c r="F60" s="3"/>
      <c r="G60" s="3"/>
      <c r="H60" s="3"/>
      <c r="I60" s="3"/>
      <c r="J60" s="3"/>
      <c r="K60" s="2"/>
      <c r="L60" s="2"/>
      <c r="M60" s="2"/>
      <c r="N60" s="2"/>
      <c r="O60" s="3"/>
      <c r="P60" s="8"/>
      <c r="Q60" s="8"/>
      <c r="R60" s="8"/>
      <c r="S60" s="8"/>
      <c r="T60" s="8"/>
      <c r="U60" s="8"/>
      <c r="V60" s="8"/>
      <c r="W60" s="8"/>
      <c r="X60" s="8"/>
      <c r="Y60" s="8"/>
      <c r="Z60" s="8"/>
      <c r="AA60" s="8"/>
      <c r="AB60" s="8"/>
      <c r="AC60" s="8"/>
      <c r="AD60" s="8"/>
      <c r="AE60" s="8"/>
      <c r="AF60" s="8"/>
      <c r="AG60" s="8"/>
      <c r="AH60" s="8"/>
      <c r="AI60" s="8"/>
      <c r="AJ60" s="2"/>
      <c r="AK60" s="21"/>
      <c r="AL60" s="21"/>
    </row>
    <row r="61" spans="1:74" ht="15" customHeight="1" x14ac:dyDescent="0.3">
      <c r="B61" s="233" t="s">
        <v>408</v>
      </c>
      <c r="C61" s="233"/>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113"/>
      <c r="AN61" s="113"/>
    </row>
    <row r="62" spans="1:74" ht="15" customHeight="1" x14ac:dyDescent="0.3">
      <c r="B62" s="1" t="s">
        <v>54</v>
      </c>
      <c r="D62" s="1"/>
      <c r="E62" s="1"/>
      <c r="G62" s="1"/>
      <c r="H62" s="1"/>
      <c r="I62" s="1"/>
      <c r="J62" s="1"/>
      <c r="T62" s="111"/>
      <c r="U62" s="1" t="s">
        <v>55</v>
      </c>
      <c r="AB62" s="1"/>
      <c r="AC62" s="1"/>
      <c r="AD62" s="1"/>
    </row>
    <row r="63" spans="1:74" ht="15" customHeight="1" x14ac:dyDescent="0.3">
      <c r="C63" s="189" t="s">
        <v>17</v>
      </c>
      <c r="D63" s="189"/>
      <c r="E63" s="189"/>
      <c r="F63" s="189"/>
      <c r="G63" s="6"/>
      <c r="H63" s="189" t="s">
        <v>18</v>
      </c>
      <c r="I63" s="189"/>
      <c r="J63" s="189"/>
      <c r="K63" s="189"/>
      <c r="L63" s="189"/>
      <c r="M63" s="6"/>
      <c r="N63" s="4" t="s">
        <v>49</v>
      </c>
      <c r="T63" s="111"/>
      <c r="X63" s="6" t="s">
        <v>17</v>
      </c>
      <c r="AC63" s="6" t="s">
        <v>18</v>
      </c>
      <c r="AD63" s="6"/>
      <c r="AG63" s="6"/>
      <c r="AH63" s="4" t="s">
        <v>49</v>
      </c>
      <c r="AI63" s="6"/>
    </row>
    <row r="64" spans="1:74" ht="14.55" customHeight="1" x14ac:dyDescent="0.3">
      <c r="C64" s="245">
        <f>'From 2A.1 - Design'!C88</f>
        <v>0</v>
      </c>
      <c r="D64" s="245"/>
      <c r="E64" s="245"/>
      <c r="F64" s="4" t="s">
        <v>43</v>
      </c>
      <c r="H64" s="247">
        <f>'From 2A.1 - Design'!H88</f>
        <v>0</v>
      </c>
      <c r="I64" s="247"/>
      <c r="J64" s="247"/>
      <c r="K64" s="247"/>
      <c r="L64" s="4" t="s">
        <v>39</v>
      </c>
      <c r="M64" s="115"/>
      <c r="N64" s="247">
        <f>'From 2A.1 - Design'!M88</f>
        <v>0</v>
      </c>
      <c r="O64" s="247"/>
      <c r="P64" s="247"/>
      <c r="Q64" s="247"/>
      <c r="R64" s="4" t="s">
        <v>37</v>
      </c>
      <c r="T64" s="111"/>
      <c r="W64" s="192"/>
      <c r="X64" s="192"/>
      <c r="Y64" s="192"/>
      <c r="Z64" s="4" t="s">
        <v>43</v>
      </c>
      <c r="AB64" s="197"/>
      <c r="AC64" s="197"/>
      <c r="AD64" s="197"/>
      <c r="AE64" s="197"/>
      <c r="AF64" s="4" t="s">
        <v>39</v>
      </c>
      <c r="AG64" s="6"/>
      <c r="AH64" s="197"/>
      <c r="AI64" s="197"/>
      <c r="AJ64" s="197"/>
      <c r="AK64" s="197"/>
      <c r="AL64" s="4" t="s">
        <v>37</v>
      </c>
      <c r="AM64" s="119">
        <f>IF(ISBLANK(AB64),0,1)</f>
        <v>0</v>
      </c>
      <c r="AN64" s="119">
        <f>IF(ISBLANK(AH64),0,1)</f>
        <v>0</v>
      </c>
      <c r="AO64" s="119">
        <f t="shared" ref="AO64:AO83" si="3">IF(ISBLANK(W64),1,2)</f>
        <v>1</v>
      </c>
    </row>
    <row r="65" spans="3:41" ht="14.55" customHeight="1" x14ac:dyDescent="0.3">
      <c r="C65" s="245">
        <f>'From 2A.1 - Design'!C89</f>
        <v>0</v>
      </c>
      <c r="D65" s="245"/>
      <c r="E65" s="245"/>
      <c r="F65" s="4" t="s">
        <v>43</v>
      </c>
      <c r="H65" s="247">
        <f>'From 2A.1 - Design'!H89</f>
        <v>0</v>
      </c>
      <c r="I65" s="247"/>
      <c r="J65" s="247"/>
      <c r="K65" s="247"/>
      <c r="L65" s="4" t="s">
        <v>39</v>
      </c>
      <c r="M65" s="115"/>
      <c r="N65" s="247">
        <f>'From 2A.1 - Design'!M89</f>
        <v>0</v>
      </c>
      <c r="O65" s="247"/>
      <c r="P65" s="247"/>
      <c r="Q65" s="247"/>
      <c r="R65" s="4" t="s">
        <v>37</v>
      </c>
      <c r="T65" s="111"/>
      <c r="W65" s="196"/>
      <c r="X65" s="196"/>
      <c r="Y65" s="196"/>
      <c r="Z65" s="4" t="s">
        <v>43</v>
      </c>
      <c r="AB65" s="194"/>
      <c r="AC65" s="194"/>
      <c r="AD65" s="194"/>
      <c r="AE65" s="194"/>
      <c r="AF65" s="4" t="s">
        <v>39</v>
      </c>
      <c r="AG65" s="6"/>
      <c r="AH65" s="194"/>
      <c r="AI65" s="194"/>
      <c r="AJ65" s="194"/>
      <c r="AK65" s="194"/>
      <c r="AL65" s="4" t="s">
        <v>37</v>
      </c>
      <c r="AO65" s="119">
        <f t="shared" si="3"/>
        <v>1</v>
      </c>
    </row>
    <row r="66" spans="3:41" ht="14.55" customHeight="1" x14ac:dyDescent="0.3">
      <c r="C66" s="245">
        <f>'From 2A.1 - Design'!C90</f>
        <v>0</v>
      </c>
      <c r="D66" s="245"/>
      <c r="E66" s="245"/>
      <c r="F66" s="4" t="s">
        <v>43</v>
      </c>
      <c r="H66" s="247">
        <f>'From 2A.1 - Design'!H90</f>
        <v>0</v>
      </c>
      <c r="I66" s="247"/>
      <c r="J66" s="247"/>
      <c r="K66" s="247"/>
      <c r="L66" s="4" t="s">
        <v>39</v>
      </c>
      <c r="M66" s="115"/>
      <c r="N66" s="247">
        <f>'From 2A.1 - Design'!M90</f>
        <v>0</v>
      </c>
      <c r="O66" s="247"/>
      <c r="P66" s="247"/>
      <c r="Q66" s="247"/>
      <c r="R66" s="4" t="s">
        <v>37</v>
      </c>
      <c r="T66" s="111"/>
      <c r="W66" s="196"/>
      <c r="X66" s="196"/>
      <c r="Y66" s="196"/>
      <c r="Z66" s="4" t="s">
        <v>43</v>
      </c>
      <c r="AB66" s="194"/>
      <c r="AC66" s="194"/>
      <c r="AD66" s="194"/>
      <c r="AE66" s="194"/>
      <c r="AF66" s="4" t="s">
        <v>39</v>
      </c>
      <c r="AG66" s="6"/>
      <c r="AH66" s="194"/>
      <c r="AI66" s="194"/>
      <c r="AJ66" s="194"/>
      <c r="AK66" s="194"/>
      <c r="AL66" s="4" t="s">
        <v>37</v>
      </c>
      <c r="AO66" s="119">
        <f t="shared" si="3"/>
        <v>1</v>
      </c>
    </row>
    <row r="67" spans="3:41" ht="14.55" customHeight="1" x14ac:dyDescent="0.3">
      <c r="C67" s="245">
        <f>'From 2A.1 - Design'!C91</f>
        <v>0</v>
      </c>
      <c r="D67" s="245"/>
      <c r="E67" s="245"/>
      <c r="F67" s="4" t="s">
        <v>43</v>
      </c>
      <c r="H67" s="247">
        <f>'From 2A.1 - Design'!H91</f>
        <v>0</v>
      </c>
      <c r="I67" s="247"/>
      <c r="J67" s="247"/>
      <c r="K67" s="247"/>
      <c r="L67" s="4" t="s">
        <v>39</v>
      </c>
      <c r="M67" s="115"/>
      <c r="N67" s="247">
        <f>'From 2A.1 - Design'!M91</f>
        <v>0</v>
      </c>
      <c r="O67" s="247"/>
      <c r="P67" s="247"/>
      <c r="Q67" s="247"/>
      <c r="R67" s="4" t="s">
        <v>37</v>
      </c>
      <c r="T67" s="111"/>
      <c r="W67" s="196"/>
      <c r="X67" s="196"/>
      <c r="Y67" s="196"/>
      <c r="Z67" s="4" t="s">
        <v>43</v>
      </c>
      <c r="AB67" s="194"/>
      <c r="AC67" s="194"/>
      <c r="AD67" s="194"/>
      <c r="AE67" s="194"/>
      <c r="AF67" s="4" t="s">
        <v>39</v>
      </c>
      <c r="AG67" s="6"/>
      <c r="AH67" s="194"/>
      <c r="AI67" s="194"/>
      <c r="AJ67" s="194"/>
      <c r="AK67" s="194"/>
      <c r="AL67" s="4" t="s">
        <v>37</v>
      </c>
      <c r="AO67" s="119">
        <f t="shared" si="3"/>
        <v>1</v>
      </c>
    </row>
    <row r="68" spans="3:41" ht="14.55" customHeight="1" x14ac:dyDescent="0.3">
      <c r="C68" s="245">
        <f>'From 2A.1 - Design'!C92</f>
        <v>0</v>
      </c>
      <c r="D68" s="245"/>
      <c r="E68" s="245"/>
      <c r="F68" s="4" t="s">
        <v>43</v>
      </c>
      <c r="H68" s="247">
        <f>'From 2A.1 - Design'!H92</f>
        <v>0</v>
      </c>
      <c r="I68" s="247"/>
      <c r="J68" s="247"/>
      <c r="K68" s="247"/>
      <c r="L68" s="4" t="s">
        <v>39</v>
      </c>
      <c r="M68" s="115"/>
      <c r="N68" s="247">
        <f>'From 2A.1 - Design'!M92</f>
        <v>0</v>
      </c>
      <c r="O68" s="247"/>
      <c r="P68" s="247"/>
      <c r="Q68" s="247"/>
      <c r="R68" s="4" t="s">
        <v>37</v>
      </c>
      <c r="T68" s="111"/>
      <c r="W68" s="196"/>
      <c r="X68" s="196"/>
      <c r="Y68" s="196"/>
      <c r="Z68" s="4" t="s">
        <v>43</v>
      </c>
      <c r="AB68" s="194"/>
      <c r="AC68" s="194"/>
      <c r="AD68" s="194"/>
      <c r="AE68" s="194"/>
      <c r="AF68" s="4" t="s">
        <v>39</v>
      </c>
      <c r="AG68" s="6"/>
      <c r="AH68" s="194"/>
      <c r="AI68" s="194"/>
      <c r="AJ68" s="194"/>
      <c r="AK68" s="194"/>
      <c r="AL68" s="4" t="s">
        <v>37</v>
      </c>
      <c r="AO68" s="119">
        <f t="shared" si="3"/>
        <v>1</v>
      </c>
    </row>
    <row r="69" spans="3:41" ht="14.55" customHeight="1" x14ac:dyDescent="0.3">
      <c r="C69" s="245">
        <f>'From 2A.1 - Design'!C93</f>
        <v>0</v>
      </c>
      <c r="D69" s="245"/>
      <c r="E69" s="245"/>
      <c r="F69" s="4" t="s">
        <v>43</v>
      </c>
      <c r="H69" s="247">
        <f>'From 2A.1 - Design'!H93</f>
        <v>0</v>
      </c>
      <c r="I69" s="247"/>
      <c r="J69" s="247"/>
      <c r="K69" s="247"/>
      <c r="L69" s="4" t="s">
        <v>39</v>
      </c>
      <c r="M69" s="115"/>
      <c r="N69" s="247">
        <f>'From 2A.1 - Design'!M93</f>
        <v>0</v>
      </c>
      <c r="O69" s="247"/>
      <c r="P69" s="247"/>
      <c r="Q69" s="247"/>
      <c r="R69" s="4" t="s">
        <v>37</v>
      </c>
      <c r="T69" s="111"/>
      <c r="W69" s="196"/>
      <c r="X69" s="196"/>
      <c r="Y69" s="196"/>
      <c r="Z69" s="4" t="s">
        <v>43</v>
      </c>
      <c r="AB69" s="194"/>
      <c r="AC69" s="194"/>
      <c r="AD69" s="194"/>
      <c r="AE69" s="194"/>
      <c r="AF69" s="4" t="s">
        <v>39</v>
      </c>
      <c r="AG69" s="6"/>
      <c r="AH69" s="194"/>
      <c r="AI69" s="194"/>
      <c r="AJ69" s="194"/>
      <c r="AK69" s="194"/>
      <c r="AL69" s="4" t="s">
        <v>37</v>
      </c>
      <c r="AO69" s="119">
        <f t="shared" si="3"/>
        <v>1</v>
      </c>
    </row>
    <row r="70" spans="3:41" ht="14.55" customHeight="1" x14ac:dyDescent="0.3">
      <c r="C70" s="245">
        <f>'From 2A.1 - Design'!C94</f>
        <v>0</v>
      </c>
      <c r="D70" s="245"/>
      <c r="E70" s="245"/>
      <c r="F70" s="4" t="s">
        <v>43</v>
      </c>
      <c r="H70" s="247">
        <f>'From 2A.1 - Design'!H94</f>
        <v>0</v>
      </c>
      <c r="I70" s="247"/>
      <c r="J70" s="247"/>
      <c r="K70" s="247"/>
      <c r="L70" s="4" t="s">
        <v>39</v>
      </c>
      <c r="M70" s="115"/>
      <c r="N70" s="247">
        <f>'From 2A.1 - Design'!M94</f>
        <v>0</v>
      </c>
      <c r="O70" s="247"/>
      <c r="P70" s="247"/>
      <c r="Q70" s="247"/>
      <c r="R70" s="4" t="s">
        <v>37</v>
      </c>
      <c r="T70" s="111"/>
      <c r="W70" s="196"/>
      <c r="X70" s="196"/>
      <c r="Y70" s="196"/>
      <c r="Z70" s="4" t="s">
        <v>43</v>
      </c>
      <c r="AB70" s="194"/>
      <c r="AC70" s="194"/>
      <c r="AD70" s="194"/>
      <c r="AE70" s="194"/>
      <c r="AF70" s="4" t="s">
        <v>39</v>
      </c>
      <c r="AG70" s="6"/>
      <c r="AH70" s="194"/>
      <c r="AI70" s="194"/>
      <c r="AJ70" s="194"/>
      <c r="AK70" s="194"/>
      <c r="AL70" s="4" t="s">
        <v>37</v>
      </c>
      <c r="AO70" s="119">
        <f t="shared" si="3"/>
        <v>1</v>
      </c>
    </row>
    <row r="71" spans="3:41" ht="14.55" customHeight="1" x14ac:dyDescent="0.3">
      <c r="C71" s="245">
        <f>'From 2A.1 - Design'!C95</f>
        <v>0</v>
      </c>
      <c r="D71" s="245"/>
      <c r="E71" s="245"/>
      <c r="F71" s="4" t="s">
        <v>43</v>
      </c>
      <c r="H71" s="247">
        <f>'From 2A.1 - Design'!H95</f>
        <v>0</v>
      </c>
      <c r="I71" s="247"/>
      <c r="J71" s="247"/>
      <c r="K71" s="247"/>
      <c r="L71" s="4" t="s">
        <v>39</v>
      </c>
      <c r="M71" s="115"/>
      <c r="N71" s="247">
        <f>'From 2A.1 - Design'!M95</f>
        <v>0</v>
      </c>
      <c r="O71" s="247"/>
      <c r="P71" s="247"/>
      <c r="Q71" s="247"/>
      <c r="R71" s="4" t="s">
        <v>37</v>
      </c>
      <c r="T71" s="111"/>
      <c r="W71" s="196"/>
      <c r="X71" s="196"/>
      <c r="Y71" s="196"/>
      <c r="Z71" s="4" t="s">
        <v>43</v>
      </c>
      <c r="AB71" s="194"/>
      <c r="AC71" s="194"/>
      <c r="AD71" s="194"/>
      <c r="AE71" s="194"/>
      <c r="AF71" s="4" t="s">
        <v>39</v>
      </c>
      <c r="AG71" s="6"/>
      <c r="AH71" s="194"/>
      <c r="AI71" s="194"/>
      <c r="AJ71" s="194"/>
      <c r="AK71" s="194"/>
      <c r="AL71" s="4" t="s">
        <v>37</v>
      </c>
      <c r="AO71" s="119">
        <f t="shared" si="3"/>
        <v>1</v>
      </c>
    </row>
    <row r="72" spans="3:41" ht="14.55" customHeight="1" x14ac:dyDescent="0.3">
      <c r="C72" s="245">
        <f>'From 2A.1 - Design'!C96</f>
        <v>0</v>
      </c>
      <c r="D72" s="245"/>
      <c r="E72" s="245"/>
      <c r="F72" s="4" t="s">
        <v>43</v>
      </c>
      <c r="H72" s="247">
        <f>'From 2A.1 - Design'!H96</f>
        <v>0</v>
      </c>
      <c r="I72" s="247"/>
      <c r="J72" s="247"/>
      <c r="K72" s="247"/>
      <c r="L72" s="4" t="s">
        <v>39</v>
      </c>
      <c r="M72" s="115"/>
      <c r="N72" s="247">
        <f>'From 2A.1 - Design'!M96</f>
        <v>0</v>
      </c>
      <c r="O72" s="247"/>
      <c r="P72" s="247"/>
      <c r="Q72" s="247"/>
      <c r="R72" s="4" t="s">
        <v>37</v>
      </c>
      <c r="T72" s="111"/>
      <c r="W72" s="196"/>
      <c r="X72" s="196"/>
      <c r="Y72" s="196"/>
      <c r="Z72" s="4" t="s">
        <v>43</v>
      </c>
      <c r="AB72" s="194"/>
      <c r="AC72" s="194"/>
      <c r="AD72" s="194"/>
      <c r="AE72" s="194"/>
      <c r="AF72" s="4" t="s">
        <v>39</v>
      </c>
      <c r="AG72" s="6"/>
      <c r="AH72" s="194"/>
      <c r="AI72" s="194"/>
      <c r="AJ72" s="194"/>
      <c r="AK72" s="194"/>
      <c r="AL72" s="4" t="s">
        <v>37</v>
      </c>
      <c r="AO72" s="119">
        <f t="shared" si="3"/>
        <v>1</v>
      </c>
    </row>
    <row r="73" spans="3:41" ht="14.55" customHeight="1" x14ac:dyDescent="0.3">
      <c r="C73" s="245">
        <f>'From 2A.1 - Design'!C97</f>
        <v>0</v>
      </c>
      <c r="D73" s="245"/>
      <c r="E73" s="245"/>
      <c r="F73" s="4" t="s">
        <v>43</v>
      </c>
      <c r="H73" s="247">
        <f>'From 2A.1 - Design'!H97</f>
        <v>0</v>
      </c>
      <c r="I73" s="247"/>
      <c r="J73" s="247"/>
      <c r="K73" s="247"/>
      <c r="L73" s="4" t="s">
        <v>39</v>
      </c>
      <c r="M73" s="115"/>
      <c r="N73" s="247">
        <f>'From 2A.1 - Design'!M97</f>
        <v>0</v>
      </c>
      <c r="O73" s="247"/>
      <c r="P73" s="247"/>
      <c r="Q73" s="247"/>
      <c r="R73" s="4" t="s">
        <v>37</v>
      </c>
      <c r="T73" s="111"/>
      <c r="W73" s="196"/>
      <c r="X73" s="196"/>
      <c r="Y73" s="196"/>
      <c r="Z73" s="4" t="s">
        <v>43</v>
      </c>
      <c r="AB73" s="194"/>
      <c r="AC73" s="194"/>
      <c r="AD73" s="194"/>
      <c r="AE73" s="194"/>
      <c r="AF73" s="4" t="s">
        <v>39</v>
      </c>
      <c r="AG73" s="6"/>
      <c r="AH73" s="194"/>
      <c r="AI73" s="194"/>
      <c r="AJ73" s="194"/>
      <c r="AK73" s="194"/>
      <c r="AL73" s="4" t="s">
        <v>37</v>
      </c>
      <c r="AO73" s="119">
        <f t="shared" si="3"/>
        <v>1</v>
      </c>
    </row>
    <row r="74" spans="3:41" ht="14.55" customHeight="1" x14ac:dyDescent="0.3">
      <c r="C74" s="246">
        <f>'From 2A.1 - Design'!S88</f>
        <v>0</v>
      </c>
      <c r="D74" s="246"/>
      <c r="E74" s="246"/>
      <c r="F74" s="4" t="s">
        <v>43</v>
      </c>
      <c r="H74" s="248">
        <f>'From 2A.1 - Design'!X88</f>
        <v>0</v>
      </c>
      <c r="I74" s="248"/>
      <c r="J74" s="248"/>
      <c r="K74" s="248"/>
      <c r="L74" s="4" t="s">
        <v>39</v>
      </c>
      <c r="M74" s="115"/>
      <c r="N74" s="248">
        <f>'From 2A.1 - Design'!AD88</f>
        <v>0</v>
      </c>
      <c r="O74" s="248"/>
      <c r="P74" s="248"/>
      <c r="Q74" s="248"/>
      <c r="R74" s="4" t="s">
        <v>37</v>
      </c>
      <c r="T74" s="111"/>
      <c r="W74" s="196"/>
      <c r="X74" s="196"/>
      <c r="Y74" s="196"/>
      <c r="Z74" s="4" t="s">
        <v>43</v>
      </c>
      <c r="AB74" s="194"/>
      <c r="AC74" s="194"/>
      <c r="AD74" s="194"/>
      <c r="AE74" s="194"/>
      <c r="AF74" s="4" t="s">
        <v>39</v>
      </c>
      <c r="AG74" s="6"/>
      <c r="AH74" s="194"/>
      <c r="AI74" s="194"/>
      <c r="AJ74" s="194"/>
      <c r="AK74" s="194"/>
      <c r="AL74" s="4" t="s">
        <v>37</v>
      </c>
      <c r="AO74" s="119">
        <f t="shared" si="3"/>
        <v>1</v>
      </c>
    </row>
    <row r="75" spans="3:41" ht="14.55" customHeight="1" x14ac:dyDescent="0.3">
      <c r="C75" s="246">
        <f>'From 2A.1 - Design'!S89</f>
        <v>0</v>
      </c>
      <c r="D75" s="246"/>
      <c r="E75" s="246"/>
      <c r="F75" s="4" t="s">
        <v>43</v>
      </c>
      <c r="H75" s="248">
        <f>'From 2A.1 - Design'!X89</f>
        <v>0</v>
      </c>
      <c r="I75" s="248"/>
      <c r="J75" s="248"/>
      <c r="K75" s="248"/>
      <c r="L75" s="4" t="s">
        <v>39</v>
      </c>
      <c r="M75" s="115"/>
      <c r="N75" s="248">
        <f>'From 2A.1 - Design'!AD89</f>
        <v>0</v>
      </c>
      <c r="O75" s="248"/>
      <c r="P75" s="248"/>
      <c r="Q75" s="248"/>
      <c r="R75" s="4" t="s">
        <v>37</v>
      </c>
      <c r="T75" s="111"/>
      <c r="W75" s="196"/>
      <c r="X75" s="196"/>
      <c r="Y75" s="196"/>
      <c r="Z75" s="4" t="s">
        <v>43</v>
      </c>
      <c r="AB75" s="194"/>
      <c r="AC75" s="194"/>
      <c r="AD75" s="194"/>
      <c r="AE75" s="194"/>
      <c r="AF75" s="4" t="s">
        <v>39</v>
      </c>
      <c r="AG75" s="6"/>
      <c r="AH75" s="194"/>
      <c r="AI75" s="194"/>
      <c r="AJ75" s="194"/>
      <c r="AK75" s="194"/>
      <c r="AL75" s="4" t="s">
        <v>37</v>
      </c>
      <c r="AO75" s="119">
        <f t="shared" si="3"/>
        <v>1</v>
      </c>
    </row>
    <row r="76" spans="3:41" ht="14.55" customHeight="1" x14ac:dyDescent="0.3">
      <c r="C76" s="246">
        <f>'From 2A.1 - Design'!S90</f>
        <v>0</v>
      </c>
      <c r="D76" s="246"/>
      <c r="E76" s="246"/>
      <c r="F76" s="4" t="s">
        <v>43</v>
      </c>
      <c r="H76" s="248">
        <f>'From 2A.1 - Design'!X90</f>
        <v>0</v>
      </c>
      <c r="I76" s="248"/>
      <c r="J76" s="248"/>
      <c r="K76" s="248"/>
      <c r="L76" s="4" t="s">
        <v>39</v>
      </c>
      <c r="M76" s="115"/>
      <c r="N76" s="248">
        <f>'From 2A.1 - Design'!AD90</f>
        <v>0</v>
      </c>
      <c r="O76" s="248"/>
      <c r="P76" s="248"/>
      <c r="Q76" s="248"/>
      <c r="R76" s="4" t="s">
        <v>37</v>
      </c>
      <c r="T76" s="111"/>
      <c r="W76" s="196"/>
      <c r="X76" s="196"/>
      <c r="Y76" s="196"/>
      <c r="Z76" s="4" t="s">
        <v>43</v>
      </c>
      <c r="AB76" s="194"/>
      <c r="AC76" s="194"/>
      <c r="AD76" s="194"/>
      <c r="AE76" s="194"/>
      <c r="AF76" s="4" t="s">
        <v>39</v>
      </c>
      <c r="AG76" s="6"/>
      <c r="AH76" s="194"/>
      <c r="AI76" s="194"/>
      <c r="AJ76" s="194"/>
      <c r="AK76" s="194"/>
      <c r="AL76" s="4" t="s">
        <v>37</v>
      </c>
      <c r="AO76" s="119">
        <f t="shared" si="3"/>
        <v>1</v>
      </c>
    </row>
    <row r="77" spans="3:41" ht="14.55" customHeight="1" x14ac:dyDescent="0.3">
      <c r="C77" s="246">
        <f>'From 2A.1 - Design'!S91</f>
        <v>0</v>
      </c>
      <c r="D77" s="246"/>
      <c r="E77" s="246"/>
      <c r="F77" s="4" t="s">
        <v>43</v>
      </c>
      <c r="H77" s="248">
        <f>'From 2A.1 - Design'!X91</f>
        <v>0</v>
      </c>
      <c r="I77" s="248"/>
      <c r="J77" s="248"/>
      <c r="K77" s="248"/>
      <c r="L77" s="4" t="s">
        <v>39</v>
      </c>
      <c r="M77" s="115"/>
      <c r="N77" s="248">
        <f>'From 2A.1 - Design'!AD91</f>
        <v>0</v>
      </c>
      <c r="O77" s="248"/>
      <c r="P77" s="248"/>
      <c r="Q77" s="248"/>
      <c r="R77" s="4" t="s">
        <v>37</v>
      </c>
      <c r="T77" s="111"/>
      <c r="W77" s="196"/>
      <c r="X77" s="196"/>
      <c r="Y77" s="196"/>
      <c r="Z77" s="4" t="s">
        <v>43</v>
      </c>
      <c r="AB77" s="194"/>
      <c r="AC77" s="194"/>
      <c r="AD77" s="194"/>
      <c r="AE77" s="194"/>
      <c r="AF77" s="4" t="s">
        <v>39</v>
      </c>
      <c r="AG77" s="6"/>
      <c r="AH77" s="194"/>
      <c r="AI77" s="194"/>
      <c r="AJ77" s="194"/>
      <c r="AK77" s="194"/>
      <c r="AL77" s="4" t="s">
        <v>37</v>
      </c>
      <c r="AO77" s="119">
        <f t="shared" si="3"/>
        <v>1</v>
      </c>
    </row>
    <row r="78" spans="3:41" ht="14.55" customHeight="1" x14ac:dyDescent="0.3">
      <c r="C78" s="246">
        <f>'From 2A.1 - Design'!S92</f>
        <v>0</v>
      </c>
      <c r="D78" s="246"/>
      <c r="E78" s="246"/>
      <c r="F78" s="4" t="s">
        <v>43</v>
      </c>
      <c r="H78" s="248">
        <f>'From 2A.1 - Design'!X92</f>
        <v>0</v>
      </c>
      <c r="I78" s="248"/>
      <c r="J78" s="248"/>
      <c r="K78" s="248"/>
      <c r="L78" s="4" t="s">
        <v>39</v>
      </c>
      <c r="M78" s="115"/>
      <c r="N78" s="248">
        <f>'From 2A.1 - Design'!AD92</f>
        <v>0</v>
      </c>
      <c r="O78" s="248"/>
      <c r="P78" s="248"/>
      <c r="Q78" s="248"/>
      <c r="R78" s="4" t="s">
        <v>37</v>
      </c>
      <c r="T78" s="111"/>
      <c r="W78" s="196"/>
      <c r="X78" s="196"/>
      <c r="Y78" s="196"/>
      <c r="Z78" s="4" t="s">
        <v>43</v>
      </c>
      <c r="AB78" s="194"/>
      <c r="AC78" s="194"/>
      <c r="AD78" s="194"/>
      <c r="AE78" s="194"/>
      <c r="AF78" s="4" t="s">
        <v>39</v>
      </c>
      <c r="AG78" s="6"/>
      <c r="AH78" s="194"/>
      <c r="AI78" s="194"/>
      <c r="AJ78" s="194"/>
      <c r="AK78" s="194"/>
      <c r="AL78" s="4" t="s">
        <v>37</v>
      </c>
      <c r="AO78" s="119">
        <f t="shared" si="3"/>
        <v>1</v>
      </c>
    </row>
    <row r="79" spans="3:41" ht="14.55" customHeight="1" x14ac:dyDescent="0.3">
      <c r="C79" s="246">
        <f>'From 2A.1 - Design'!S93</f>
        <v>0</v>
      </c>
      <c r="D79" s="246"/>
      <c r="E79" s="246"/>
      <c r="F79" s="4" t="s">
        <v>43</v>
      </c>
      <c r="H79" s="248">
        <f>'From 2A.1 - Design'!X93</f>
        <v>0</v>
      </c>
      <c r="I79" s="248"/>
      <c r="J79" s="248"/>
      <c r="K79" s="248"/>
      <c r="L79" s="4" t="s">
        <v>39</v>
      </c>
      <c r="M79" s="115"/>
      <c r="N79" s="248">
        <f>'From 2A.1 - Design'!AD93</f>
        <v>0</v>
      </c>
      <c r="O79" s="248"/>
      <c r="P79" s="248"/>
      <c r="Q79" s="248"/>
      <c r="R79" s="4" t="s">
        <v>37</v>
      </c>
      <c r="T79" s="111"/>
      <c r="W79" s="196"/>
      <c r="X79" s="196"/>
      <c r="Y79" s="196"/>
      <c r="Z79" s="4" t="s">
        <v>43</v>
      </c>
      <c r="AB79" s="194"/>
      <c r="AC79" s="194"/>
      <c r="AD79" s="194"/>
      <c r="AE79" s="194"/>
      <c r="AF79" s="4" t="s">
        <v>39</v>
      </c>
      <c r="AG79" s="6"/>
      <c r="AH79" s="194"/>
      <c r="AI79" s="194"/>
      <c r="AJ79" s="194"/>
      <c r="AK79" s="194"/>
      <c r="AL79" s="4" t="s">
        <v>37</v>
      </c>
      <c r="AO79" s="119">
        <f t="shared" si="3"/>
        <v>1</v>
      </c>
    </row>
    <row r="80" spans="3:41" ht="14.55" customHeight="1" x14ac:dyDescent="0.3">
      <c r="C80" s="246">
        <f>'From 2A.1 - Design'!S94</f>
        <v>0</v>
      </c>
      <c r="D80" s="246"/>
      <c r="E80" s="246"/>
      <c r="F80" s="4" t="s">
        <v>43</v>
      </c>
      <c r="H80" s="248">
        <f>'From 2A.1 - Design'!X94</f>
        <v>0</v>
      </c>
      <c r="I80" s="248"/>
      <c r="J80" s="248"/>
      <c r="K80" s="248"/>
      <c r="L80" s="4" t="s">
        <v>39</v>
      </c>
      <c r="M80" s="115"/>
      <c r="N80" s="248">
        <f>'From 2A.1 - Design'!AD94</f>
        <v>0</v>
      </c>
      <c r="O80" s="248"/>
      <c r="P80" s="248"/>
      <c r="Q80" s="248"/>
      <c r="R80" s="4" t="s">
        <v>37</v>
      </c>
      <c r="T80" s="111"/>
      <c r="W80" s="196"/>
      <c r="X80" s="196"/>
      <c r="Y80" s="196"/>
      <c r="Z80" s="4" t="s">
        <v>43</v>
      </c>
      <c r="AB80" s="194"/>
      <c r="AC80" s="194"/>
      <c r="AD80" s="194"/>
      <c r="AE80" s="194"/>
      <c r="AF80" s="4" t="s">
        <v>39</v>
      </c>
      <c r="AG80" s="6"/>
      <c r="AH80" s="194"/>
      <c r="AI80" s="194"/>
      <c r="AJ80" s="194"/>
      <c r="AK80" s="194"/>
      <c r="AL80" s="4" t="s">
        <v>37</v>
      </c>
      <c r="AO80" s="119">
        <f t="shared" si="3"/>
        <v>1</v>
      </c>
    </row>
    <row r="81" spans="2:45" ht="14.55" customHeight="1" x14ac:dyDescent="0.3">
      <c r="C81" s="246">
        <f>'From 2A.1 - Design'!S95</f>
        <v>0</v>
      </c>
      <c r="D81" s="246"/>
      <c r="E81" s="246"/>
      <c r="F81" s="4" t="s">
        <v>43</v>
      </c>
      <c r="H81" s="248">
        <f>'From 2A.1 - Design'!X95</f>
        <v>0</v>
      </c>
      <c r="I81" s="248"/>
      <c r="J81" s="248"/>
      <c r="K81" s="248"/>
      <c r="L81" s="4" t="s">
        <v>39</v>
      </c>
      <c r="M81" s="115"/>
      <c r="N81" s="248">
        <f>'From 2A.1 - Design'!AD95</f>
        <v>0</v>
      </c>
      <c r="O81" s="248"/>
      <c r="P81" s="248"/>
      <c r="Q81" s="248"/>
      <c r="R81" s="4" t="s">
        <v>37</v>
      </c>
      <c r="T81" s="111"/>
      <c r="W81" s="196"/>
      <c r="X81" s="196"/>
      <c r="Y81" s="196"/>
      <c r="Z81" s="4" t="s">
        <v>43</v>
      </c>
      <c r="AB81" s="194"/>
      <c r="AC81" s="194"/>
      <c r="AD81" s="194"/>
      <c r="AE81" s="194"/>
      <c r="AF81" s="4" t="s">
        <v>39</v>
      </c>
      <c r="AG81" s="6"/>
      <c r="AH81" s="194"/>
      <c r="AI81" s="194"/>
      <c r="AJ81" s="194"/>
      <c r="AK81" s="194"/>
      <c r="AL81" s="4" t="s">
        <v>37</v>
      </c>
      <c r="AO81" s="119">
        <f t="shared" si="3"/>
        <v>1</v>
      </c>
    </row>
    <row r="82" spans="2:45" ht="14.55" customHeight="1" x14ac:dyDescent="0.3">
      <c r="C82" s="246">
        <f>'From 2A.1 - Design'!S96</f>
        <v>0</v>
      </c>
      <c r="D82" s="246"/>
      <c r="E82" s="246"/>
      <c r="F82" s="4" t="s">
        <v>43</v>
      </c>
      <c r="H82" s="248">
        <f>'From 2A.1 - Design'!X96</f>
        <v>0</v>
      </c>
      <c r="I82" s="248"/>
      <c r="J82" s="248"/>
      <c r="K82" s="248"/>
      <c r="L82" s="4" t="s">
        <v>39</v>
      </c>
      <c r="M82" s="115"/>
      <c r="N82" s="248">
        <f>'From 2A.1 - Design'!AD96</f>
        <v>0</v>
      </c>
      <c r="O82" s="248"/>
      <c r="P82" s="248"/>
      <c r="Q82" s="248"/>
      <c r="R82" s="4" t="s">
        <v>37</v>
      </c>
      <c r="T82" s="111"/>
      <c r="W82" s="196"/>
      <c r="X82" s="196"/>
      <c r="Y82" s="196"/>
      <c r="Z82" s="4" t="s">
        <v>43</v>
      </c>
      <c r="AB82" s="194"/>
      <c r="AC82" s="194"/>
      <c r="AD82" s="194"/>
      <c r="AE82" s="194"/>
      <c r="AF82" s="4" t="s">
        <v>39</v>
      </c>
      <c r="AG82" s="6"/>
      <c r="AH82" s="194"/>
      <c r="AI82" s="194"/>
      <c r="AJ82" s="194"/>
      <c r="AK82" s="194"/>
      <c r="AL82" s="4" t="s">
        <v>37</v>
      </c>
      <c r="AO82" s="119">
        <f t="shared" si="3"/>
        <v>1</v>
      </c>
    </row>
    <row r="83" spans="2:45" ht="14.55" customHeight="1" x14ac:dyDescent="0.3">
      <c r="C83" s="246">
        <f>'From 2A.1 - Design'!S97</f>
        <v>0</v>
      </c>
      <c r="D83" s="246"/>
      <c r="E83" s="246"/>
      <c r="F83" s="4" t="s">
        <v>43</v>
      </c>
      <c r="H83" s="248">
        <f>'From 2A.1 - Design'!X97</f>
        <v>0</v>
      </c>
      <c r="I83" s="248"/>
      <c r="J83" s="248"/>
      <c r="K83" s="248"/>
      <c r="L83" s="4" t="s">
        <v>39</v>
      </c>
      <c r="M83" s="115"/>
      <c r="N83" s="248">
        <f>'From 2A.1 - Design'!AD97</f>
        <v>0</v>
      </c>
      <c r="O83" s="248"/>
      <c r="P83" s="248"/>
      <c r="Q83" s="248"/>
      <c r="R83" s="4" t="s">
        <v>37</v>
      </c>
      <c r="T83" s="111"/>
      <c r="W83" s="196"/>
      <c r="X83" s="196"/>
      <c r="Y83" s="196"/>
      <c r="Z83" s="4" t="s">
        <v>43</v>
      </c>
      <c r="AB83" s="194"/>
      <c r="AC83" s="194"/>
      <c r="AD83" s="194"/>
      <c r="AE83" s="194"/>
      <c r="AF83" s="4" t="s">
        <v>39</v>
      </c>
      <c r="AG83" s="6"/>
      <c r="AH83" s="194"/>
      <c r="AI83" s="194"/>
      <c r="AJ83" s="194"/>
      <c r="AK83" s="194"/>
      <c r="AL83" s="4" t="s">
        <v>37</v>
      </c>
      <c r="AO83" s="119">
        <f t="shared" si="3"/>
        <v>1</v>
      </c>
    </row>
    <row r="84" spans="2:45" ht="4.95" customHeight="1" x14ac:dyDescent="0.3">
      <c r="F84" s="13"/>
      <c r="G84" s="13"/>
      <c r="H84" s="13"/>
      <c r="I84" s="13"/>
      <c r="K84" s="115"/>
      <c r="L84" s="115"/>
      <c r="M84" s="115"/>
      <c r="N84" s="115"/>
      <c r="P84" s="12"/>
      <c r="Q84" s="12"/>
      <c r="R84" s="12"/>
      <c r="S84" s="12"/>
      <c r="T84" s="12"/>
      <c r="AA84" s="13"/>
      <c r="AB84" s="13"/>
      <c r="AC84" s="13"/>
      <c r="AD84" s="13"/>
      <c r="AF84" s="115"/>
      <c r="AG84" s="115"/>
      <c r="AH84" s="12"/>
      <c r="AI84" s="12"/>
      <c r="AJ84" s="12"/>
      <c r="AK84" s="12"/>
    </row>
    <row r="85" spans="2:45" ht="15" customHeight="1" x14ac:dyDescent="0.3">
      <c r="B85" s="233" t="s">
        <v>407</v>
      </c>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113"/>
      <c r="AN85" s="113"/>
      <c r="AP85" s="119">
        <f>Tables!C26</f>
        <v>5</v>
      </c>
      <c r="AQ85" s="110" t="s">
        <v>263</v>
      </c>
    </row>
    <row r="86" spans="2:45" ht="30" customHeight="1" x14ac:dyDescent="0.3">
      <c r="B86" s="1" t="s">
        <v>54</v>
      </c>
      <c r="G86" s="1"/>
      <c r="H86" s="1"/>
      <c r="I86" s="228" t="s">
        <v>135</v>
      </c>
      <c r="J86" s="228"/>
      <c r="K86" s="228"/>
      <c r="L86" s="228"/>
      <c r="M86" s="117"/>
      <c r="N86" s="228" t="s">
        <v>136</v>
      </c>
      <c r="O86" s="228"/>
      <c r="P86" s="228"/>
      <c r="Q86" s="228"/>
      <c r="R86" s="117"/>
      <c r="S86" s="228" t="s">
        <v>137</v>
      </c>
      <c r="T86" s="228"/>
      <c r="U86" s="228"/>
      <c r="V86" s="228"/>
      <c r="W86" s="117"/>
      <c r="X86" s="228" t="s">
        <v>222</v>
      </c>
      <c r="Y86" s="228"/>
      <c r="Z86" s="228"/>
      <c r="AA86" s="228"/>
      <c r="AB86" s="117"/>
      <c r="AC86" s="228" t="s">
        <v>190</v>
      </c>
      <c r="AD86" s="228"/>
      <c r="AE86" s="228"/>
      <c r="AF86" s="228"/>
      <c r="AG86" s="117"/>
      <c r="AH86" s="228" t="s">
        <v>138</v>
      </c>
      <c r="AI86" s="228"/>
      <c r="AJ86" s="228"/>
      <c r="AK86" s="228"/>
      <c r="AM86" s="101" t="s">
        <v>390</v>
      </c>
      <c r="AN86" s="56" t="s">
        <v>341</v>
      </c>
      <c r="AO86" s="101" t="s">
        <v>413</v>
      </c>
    </row>
    <row r="87" spans="2:45" ht="14.55" customHeight="1" x14ac:dyDescent="0.3">
      <c r="C87" s="170">
        <f>Tables!$C$16</f>
        <v>4.24</v>
      </c>
      <c r="D87" s="170"/>
      <c r="G87" s="2" t="str">
        <f>Tables!$A$16</f>
        <v>(2-yr)</v>
      </c>
      <c r="H87" s="13"/>
      <c r="I87" s="209">
        <f>'From 2A.1 - Design'!M107</f>
        <v>0</v>
      </c>
      <c r="J87" s="209"/>
      <c r="K87" s="209"/>
      <c r="L87" s="209"/>
      <c r="N87" s="216">
        <f>'From 2A.1 - Design'!Q107</f>
        <v>0</v>
      </c>
      <c r="O87" s="216"/>
      <c r="P87" s="216"/>
      <c r="Q87" s="216"/>
      <c r="S87" s="216">
        <f>'From 2A.1 - Design'!U107</f>
        <v>0</v>
      </c>
      <c r="T87" s="216"/>
      <c r="U87" s="216"/>
      <c r="V87" s="216"/>
      <c r="X87" s="216">
        <f>'From 2A.1 - Design'!Y107</f>
        <v>0</v>
      </c>
      <c r="Y87" s="216"/>
      <c r="Z87" s="216"/>
      <c r="AA87" s="216"/>
      <c r="AC87" s="216">
        <f>'From 2A.1 - Design'!AC107</f>
        <v>0</v>
      </c>
      <c r="AD87" s="216"/>
      <c r="AE87" s="216"/>
      <c r="AF87" s="216"/>
      <c r="AH87" s="216">
        <f>'From 2A.1 - Design'!AG107</f>
        <v>0</v>
      </c>
      <c r="AI87" s="216"/>
      <c r="AJ87" s="216"/>
      <c r="AK87" s="216"/>
      <c r="AM87" s="119">
        <f>IF(AH87&gt;I87,1,0)</f>
        <v>0</v>
      </c>
      <c r="AN87" s="119">
        <f t="shared" ref="AN87:AN91" si="4">IF($AP$88=1,0,IF(AH87&gt;$AR$88,1,0))</f>
        <v>0</v>
      </c>
      <c r="AO87" s="119">
        <f t="shared" ref="AO87:AO91" si="5">IF($AP$89=1,0,IF($AH87&gt;$AR$89,1,0))</f>
        <v>0</v>
      </c>
      <c r="AQ87" s="101" t="s">
        <v>418</v>
      </c>
      <c r="AR87" s="101" t="s">
        <v>161</v>
      </c>
    </row>
    <row r="88" spans="2:45" ht="14.55" customHeight="1" x14ac:dyDescent="0.3">
      <c r="C88" s="170">
        <f>Tables!$C$17</f>
        <v>5.3</v>
      </c>
      <c r="D88" s="170"/>
      <c r="G88" s="2" t="str">
        <f>Tables!$A$17</f>
        <v>(5-yr)</v>
      </c>
      <c r="H88" s="13"/>
      <c r="I88" s="209">
        <f>'From 2A.1 - Design'!M108</f>
        <v>0</v>
      </c>
      <c r="J88" s="209"/>
      <c r="K88" s="209"/>
      <c r="L88" s="209"/>
      <c r="N88" s="216">
        <f>'From 2A.1 - Design'!Q108</f>
        <v>0</v>
      </c>
      <c r="O88" s="216"/>
      <c r="P88" s="216"/>
      <c r="Q88" s="216"/>
      <c r="S88" s="216">
        <f>'From 2A.1 - Design'!U108</f>
        <v>0</v>
      </c>
      <c r="T88" s="216"/>
      <c r="U88" s="216"/>
      <c r="V88" s="216"/>
      <c r="X88" s="216">
        <f>'From 2A.1 - Design'!Y108</f>
        <v>0</v>
      </c>
      <c r="Y88" s="216"/>
      <c r="Z88" s="216"/>
      <c r="AA88" s="216"/>
      <c r="AC88" s="216">
        <f>'From 2A.1 - Design'!AC108</f>
        <v>0</v>
      </c>
      <c r="AD88" s="216"/>
      <c r="AE88" s="216"/>
      <c r="AF88" s="216"/>
      <c r="AH88" s="216">
        <f>'From 2A.1 - Design'!AG108</f>
        <v>0</v>
      </c>
      <c r="AI88" s="216"/>
      <c r="AJ88" s="216"/>
      <c r="AK88" s="216"/>
      <c r="AM88" s="119">
        <f t="shared" ref="AM88:AM92" si="6">IF(AH88&gt;I88,1,0)</f>
        <v>0</v>
      </c>
      <c r="AN88" s="119">
        <f t="shared" si="4"/>
        <v>0</v>
      </c>
      <c r="AO88" s="119">
        <f t="shared" si="5"/>
        <v>0</v>
      </c>
      <c r="AP88" s="128">
        <f>IF(AQ88="Yes",'From 2A.1 - Design'!AM150,1)</f>
        <v>1</v>
      </c>
      <c r="AQ88" s="119" t="str">
        <f>'From 2A.1 - Design'!AO150</f>
        <v>No</v>
      </c>
      <c r="AR88" s="121">
        <f>'From 2A.1 - Design'!AN150</f>
        <v>0</v>
      </c>
      <c r="AS88" s="110" t="s">
        <v>341</v>
      </c>
    </row>
    <row r="89" spans="2:45" ht="14.55" customHeight="1" x14ac:dyDescent="0.3">
      <c r="C89" s="170">
        <f>Tables!$C$18</f>
        <v>6.24</v>
      </c>
      <c r="D89" s="170"/>
      <c r="G89" s="2" t="str">
        <f>Tables!$A$18</f>
        <v>(10-yr)</v>
      </c>
      <c r="H89" s="13"/>
      <c r="I89" s="209">
        <f>'From 2A.1 - Design'!M109</f>
        <v>0</v>
      </c>
      <c r="J89" s="209"/>
      <c r="K89" s="209"/>
      <c r="L89" s="209"/>
      <c r="N89" s="216">
        <f>'From 2A.1 - Design'!Q109</f>
        <v>0</v>
      </c>
      <c r="O89" s="216"/>
      <c r="P89" s="216"/>
      <c r="Q89" s="216"/>
      <c r="S89" s="216">
        <f>'From 2A.1 - Design'!U109</f>
        <v>0</v>
      </c>
      <c r="T89" s="216"/>
      <c r="U89" s="216"/>
      <c r="V89" s="216"/>
      <c r="X89" s="216">
        <f>'From 2A.1 - Design'!Y109</f>
        <v>0</v>
      </c>
      <c r="Y89" s="216"/>
      <c r="Z89" s="216"/>
      <c r="AA89" s="216"/>
      <c r="AC89" s="216">
        <f>'From 2A.1 - Design'!AC109</f>
        <v>0</v>
      </c>
      <c r="AD89" s="216"/>
      <c r="AE89" s="216"/>
      <c r="AF89" s="216"/>
      <c r="AH89" s="216">
        <f>'From 2A.1 - Design'!AG109</f>
        <v>0</v>
      </c>
      <c r="AI89" s="216"/>
      <c r="AJ89" s="216"/>
      <c r="AK89" s="216"/>
      <c r="AM89" s="119">
        <f t="shared" si="6"/>
        <v>0</v>
      </c>
      <c r="AN89" s="119">
        <f t="shared" si="4"/>
        <v>0</v>
      </c>
      <c r="AO89" s="119">
        <f t="shared" si="5"/>
        <v>0</v>
      </c>
      <c r="AP89" s="128">
        <f>IF(AQ89="Yes",'From 2A.1 - Design'!AM152,1)</f>
        <v>1</v>
      </c>
      <c r="AQ89" s="119" t="str">
        <f>'From 2A.1 - Design'!AO152</f>
        <v>No</v>
      </c>
      <c r="AR89" s="121">
        <f>'From 2A.1 - Design'!AN152</f>
        <v>0</v>
      </c>
      <c r="AS89" s="56" t="s">
        <v>393</v>
      </c>
    </row>
    <row r="90" spans="2:45" ht="14.55" customHeight="1" x14ac:dyDescent="0.3">
      <c r="C90" s="170">
        <f>Tables!$C$19</f>
        <v>7.64</v>
      </c>
      <c r="D90" s="170"/>
      <c r="G90" s="2" t="str">
        <f>Tables!$A$19</f>
        <v>(25-yr)</v>
      </c>
      <c r="H90" s="13"/>
      <c r="I90" s="209">
        <f>'From 2A.1 - Design'!M110</f>
        <v>0</v>
      </c>
      <c r="J90" s="209"/>
      <c r="K90" s="209"/>
      <c r="L90" s="209"/>
      <c r="N90" s="216">
        <f>'From 2A.1 - Design'!Q110</f>
        <v>0</v>
      </c>
      <c r="O90" s="216"/>
      <c r="P90" s="216"/>
      <c r="Q90" s="216"/>
      <c r="S90" s="216">
        <f>'From 2A.1 - Design'!U110</f>
        <v>0</v>
      </c>
      <c r="T90" s="216"/>
      <c r="U90" s="216"/>
      <c r="V90" s="216"/>
      <c r="X90" s="216">
        <f>'From 2A.1 - Design'!Y110</f>
        <v>0</v>
      </c>
      <c r="Y90" s="216"/>
      <c r="Z90" s="216"/>
      <c r="AA90" s="216"/>
      <c r="AC90" s="216">
        <f>'From 2A.1 - Design'!AC110</f>
        <v>0</v>
      </c>
      <c r="AD90" s="216"/>
      <c r="AE90" s="216"/>
      <c r="AF90" s="216"/>
      <c r="AH90" s="216">
        <f>'From 2A.1 - Design'!AG110</f>
        <v>0</v>
      </c>
      <c r="AI90" s="216"/>
      <c r="AJ90" s="216"/>
      <c r="AK90" s="216"/>
      <c r="AM90" s="119">
        <f t="shared" si="6"/>
        <v>0</v>
      </c>
      <c r="AN90" s="119">
        <f t="shared" si="4"/>
        <v>0</v>
      </c>
      <c r="AO90" s="119">
        <f t="shared" si="5"/>
        <v>0</v>
      </c>
      <c r="AR90" s="56"/>
      <c r="AS90" s="56"/>
    </row>
    <row r="91" spans="2:45" ht="14.55" customHeight="1" x14ac:dyDescent="0.3">
      <c r="C91" s="170">
        <f>Tables!$C$20</f>
        <v>8.8000000000000007</v>
      </c>
      <c r="D91" s="170"/>
      <c r="G91" s="2" t="str">
        <f>Tables!$A$20</f>
        <v>(50-yr)</v>
      </c>
      <c r="H91" s="13"/>
      <c r="I91" s="209">
        <f>'From 2A.1 - Design'!M111</f>
        <v>0</v>
      </c>
      <c r="J91" s="209"/>
      <c r="K91" s="209"/>
      <c r="L91" s="209"/>
      <c r="N91" s="216">
        <f>'From 2A.1 - Design'!Q111</f>
        <v>0</v>
      </c>
      <c r="O91" s="216"/>
      <c r="P91" s="216"/>
      <c r="Q91" s="216"/>
      <c r="S91" s="216">
        <f>'From 2A.1 - Design'!U111</f>
        <v>0</v>
      </c>
      <c r="T91" s="216"/>
      <c r="U91" s="216"/>
      <c r="V91" s="216"/>
      <c r="X91" s="216">
        <f>'From 2A.1 - Design'!Y111</f>
        <v>0</v>
      </c>
      <c r="Y91" s="216"/>
      <c r="Z91" s="216"/>
      <c r="AA91" s="216"/>
      <c r="AC91" s="216">
        <f>'From 2A.1 - Design'!AC111</f>
        <v>0</v>
      </c>
      <c r="AD91" s="216"/>
      <c r="AE91" s="216"/>
      <c r="AF91" s="216"/>
      <c r="AH91" s="216">
        <f>'From 2A.1 - Design'!AG111</f>
        <v>0</v>
      </c>
      <c r="AI91" s="216"/>
      <c r="AJ91" s="216"/>
      <c r="AK91" s="216"/>
      <c r="AM91" s="119">
        <f t="shared" si="6"/>
        <v>0</v>
      </c>
      <c r="AN91" s="119">
        <f t="shared" si="4"/>
        <v>0</v>
      </c>
      <c r="AO91" s="119">
        <f t="shared" si="5"/>
        <v>0</v>
      </c>
    </row>
    <row r="92" spans="2:45" ht="14.55" customHeight="1" x14ac:dyDescent="0.3">
      <c r="C92" s="170">
        <f>Tables!$C$21</f>
        <v>10</v>
      </c>
      <c r="D92" s="170"/>
      <c r="G92" s="2" t="str">
        <f>Tables!$A$21</f>
        <v>(100-yr)</v>
      </c>
      <c r="H92" s="13"/>
      <c r="I92" s="209">
        <f>'From 2A.1 - Design'!M112</f>
        <v>0</v>
      </c>
      <c r="J92" s="209"/>
      <c r="K92" s="209"/>
      <c r="L92" s="209"/>
      <c r="N92" s="216">
        <f>'From 2A.1 - Design'!Q112</f>
        <v>0</v>
      </c>
      <c r="O92" s="216"/>
      <c r="P92" s="216"/>
      <c r="Q92" s="216"/>
      <c r="S92" s="216">
        <f>'From 2A.1 - Design'!U112</f>
        <v>0</v>
      </c>
      <c r="T92" s="216"/>
      <c r="U92" s="216"/>
      <c r="V92" s="216"/>
      <c r="X92" s="216">
        <f>'From 2A.1 - Design'!Y112</f>
        <v>0</v>
      </c>
      <c r="Y92" s="216"/>
      <c r="Z92" s="216"/>
      <c r="AA92" s="216"/>
      <c r="AC92" s="216">
        <f>'From 2A.1 - Design'!AC112</f>
        <v>0</v>
      </c>
      <c r="AD92" s="216"/>
      <c r="AE92" s="216"/>
      <c r="AF92" s="216"/>
      <c r="AH92" s="216">
        <f>'From 2A.1 - Design'!AG112</f>
        <v>0</v>
      </c>
      <c r="AI92" s="216"/>
      <c r="AJ92" s="216"/>
      <c r="AK92" s="216"/>
      <c r="AM92" s="119">
        <f t="shared" si="6"/>
        <v>0</v>
      </c>
      <c r="AN92" s="119">
        <f>IF($AP$88=1,0,IF($AH92&gt;$AR$88,1,0))</f>
        <v>0</v>
      </c>
      <c r="AO92" s="119">
        <f>IF($AP$89=1,0,IF($AH92&gt;$AR$89,1,0))</f>
        <v>0</v>
      </c>
    </row>
    <row r="93" spans="2:45" ht="4.95" customHeight="1" x14ac:dyDescent="0.3">
      <c r="G93" s="2"/>
      <c r="L93" s="2"/>
      <c r="M93" s="2"/>
      <c r="N93" s="2"/>
      <c r="P93" s="18"/>
      <c r="Q93" s="18"/>
      <c r="R93" s="18"/>
      <c r="S93" s="18"/>
      <c r="U93" s="8"/>
      <c r="V93" s="8"/>
      <c r="W93" s="8"/>
      <c r="X93" s="8"/>
      <c r="AA93" s="8"/>
      <c r="AB93" s="8"/>
      <c r="AC93" s="8"/>
      <c r="AD93" s="8"/>
      <c r="AF93" s="8"/>
      <c r="AG93" s="8"/>
      <c r="AH93" s="8"/>
      <c r="AI93" s="8"/>
      <c r="AK93" s="8"/>
      <c r="AL93" s="8"/>
      <c r="AM93" s="161"/>
      <c r="AN93" s="162"/>
      <c r="AO93" s="163"/>
    </row>
    <row r="94" spans="2:45" ht="30" customHeight="1" x14ac:dyDescent="0.3">
      <c r="B94" s="1" t="s">
        <v>55</v>
      </c>
      <c r="G94" s="1"/>
      <c r="H94" s="1"/>
      <c r="I94" s="228" t="s">
        <v>135</v>
      </c>
      <c r="J94" s="228"/>
      <c r="K94" s="228"/>
      <c r="L94" s="228"/>
      <c r="M94" s="1"/>
      <c r="N94" s="228" t="s">
        <v>136</v>
      </c>
      <c r="O94" s="228"/>
      <c r="P94" s="228"/>
      <c r="Q94" s="228"/>
      <c r="S94" s="228" t="s">
        <v>137</v>
      </c>
      <c r="T94" s="228"/>
      <c r="U94" s="228"/>
      <c r="V94" s="228"/>
      <c r="W94" s="117"/>
      <c r="X94" s="228" t="s">
        <v>63</v>
      </c>
      <c r="Y94" s="228"/>
      <c r="Z94" s="228"/>
      <c r="AA94" s="228"/>
      <c r="AB94" s="117"/>
      <c r="AC94" s="228" t="s">
        <v>190</v>
      </c>
      <c r="AD94" s="228"/>
      <c r="AE94" s="228"/>
      <c r="AF94" s="228"/>
      <c r="AG94" s="117"/>
      <c r="AH94" s="228" t="s">
        <v>138</v>
      </c>
      <c r="AI94" s="228"/>
      <c r="AJ94" s="228"/>
      <c r="AK94" s="228"/>
      <c r="AM94" s="119">
        <f t="shared" ref="AM94:AS94" si="7">SUM(AM95:AM100)</f>
        <v>6</v>
      </c>
      <c r="AN94" s="119">
        <f t="shared" si="7"/>
        <v>6</v>
      </c>
      <c r="AO94" s="119">
        <f>SUM(AO95:AO98)</f>
        <v>4</v>
      </c>
      <c r="AP94" s="119">
        <f t="shared" si="7"/>
        <v>6</v>
      </c>
      <c r="AQ94" s="119">
        <f t="shared" si="7"/>
        <v>0</v>
      </c>
      <c r="AR94" s="119">
        <f t="shared" si="7"/>
        <v>0</v>
      </c>
      <c r="AS94" s="119">
        <f t="shared" si="7"/>
        <v>6</v>
      </c>
    </row>
    <row r="95" spans="2:45" ht="14.55" customHeight="1" x14ac:dyDescent="0.3">
      <c r="C95" s="170">
        <f>Tables!$C$16</f>
        <v>4.24</v>
      </c>
      <c r="D95" s="170"/>
      <c r="G95" s="2" t="str">
        <f>Tables!$A$16</f>
        <v>(2-yr)</v>
      </c>
      <c r="H95" s="13"/>
      <c r="I95" s="191"/>
      <c r="J95" s="191"/>
      <c r="K95" s="191"/>
      <c r="L95" s="191"/>
      <c r="M95" s="2"/>
      <c r="N95" s="191"/>
      <c r="O95" s="191"/>
      <c r="P95" s="191"/>
      <c r="Q95" s="191"/>
      <c r="S95" s="191"/>
      <c r="T95" s="191"/>
      <c r="U95" s="191"/>
      <c r="V95" s="191"/>
      <c r="X95" s="191"/>
      <c r="Y95" s="191"/>
      <c r="Z95" s="191"/>
      <c r="AA95" s="191"/>
      <c r="AC95" s="191"/>
      <c r="AD95" s="191"/>
      <c r="AE95" s="191"/>
      <c r="AF95" s="191"/>
      <c r="AH95" s="191"/>
      <c r="AI95" s="191"/>
      <c r="AJ95" s="191"/>
      <c r="AK95" s="191"/>
      <c r="AM95" s="119">
        <f>IF(ISBLANK(I95),1,IF(I95=I87,0,1))</f>
        <v>1</v>
      </c>
      <c r="AN95" s="119">
        <f>IF(ISBLANK(N95),1,IF(N95=N87,0,1))</f>
        <v>1</v>
      </c>
      <c r="AO95" s="119">
        <f>IF(ISBLANK(X95),1,IF(X95&gt;Y$47,1,0))</f>
        <v>1</v>
      </c>
      <c r="AP95" s="119">
        <f t="shared" ref="AP95:AP100" si="8">IF(ISBLANK(AC95),1,IF(AC95&gt;$AP$85,1,0))</f>
        <v>1</v>
      </c>
      <c r="AQ95" s="119">
        <f t="shared" ref="AQ95:AQ99" si="9">IF($AR$88=0,0,IF($AH95&gt;=$AR$88,1,0))</f>
        <v>0</v>
      </c>
      <c r="AR95" s="119">
        <f t="shared" ref="AR95:AR99" si="10">IF($AR$89=0,0,IF($AH95&gt;=$AR$89,1,0))</f>
        <v>0</v>
      </c>
      <c r="AS95" s="119">
        <f t="shared" ref="AS95:AS100" si="11">IF(ISBLANK(AH95),1,IF(AH95&gt;I95,1,0))</f>
        <v>1</v>
      </c>
    </row>
    <row r="96" spans="2:45" ht="14.55" customHeight="1" x14ac:dyDescent="0.3">
      <c r="C96" s="170">
        <f>Tables!$C$17</f>
        <v>5.3</v>
      </c>
      <c r="D96" s="170"/>
      <c r="G96" s="2" t="str">
        <f>Tables!$A$17</f>
        <v>(5-yr)</v>
      </c>
      <c r="H96" s="13"/>
      <c r="I96" s="169"/>
      <c r="J96" s="169"/>
      <c r="K96" s="169"/>
      <c r="L96" s="169"/>
      <c r="M96" s="2"/>
      <c r="N96" s="169"/>
      <c r="O96" s="169"/>
      <c r="P96" s="169"/>
      <c r="Q96" s="169"/>
      <c r="S96" s="169"/>
      <c r="T96" s="169"/>
      <c r="U96" s="169"/>
      <c r="V96" s="169"/>
      <c r="X96" s="169"/>
      <c r="Y96" s="169"/>
      <c r="Z96" s="169"/>
      <c r="AA96" s="169"/>
      <c r="AC96" s="169"/>
      <c r="AD96" s="169"/>
      <c r="AE96" s="169"/>
      <c r="AF96" s="169"/>
      <c r="AH96" s="169"/>
      <c r="AI96" s="169"/>
      <c r="AJ96" s="169"/>
      <c r="AK96" s="169"/>
      <c r="AM96" s="119">
        <f t="shared" ref="AM96:AM100" si="12">IF(ISBLANK(I96),1,IF(I96=I88,0,1))</f>
        <v>1</v>
      </c>
      <c r="AN96" s="119">
        <f t="shared" ref="AN96:AN100" si="13">IF(ISBLANK(N96),1,IF(N96=N88,0,1))</f>
        <v>1</v>
      </c>
      <c r="AO96" s="119">
        <f t="shared" ref="AO96:AO98" si="14">IF(ISBLANK(X96),1,IF(X96&gt;Y$47,1,0))</f>
        <v>1</v>
      </c>
      <c r="AP96" s="119">
        <f t="shared" si="8"/>
        <v>1</v>
      </c>
      <c r="AQ96" s="119">
        <f t="shared" si="9"/>
        <v>0</v>
      </c>
      <c r="AR96" s="119">
        <f t="shared" si="10"/>
        <v>0</v>
      </c>
      <c r="AS96" s="119">
        <f t="shared" si="11"/>
        <v>1</v>
      </c>
    </row>
    <row r="97" spans="2:47" ht="14.55" customHeight="1" x14ac:dyDescent="0.3">
      <c r="C97" s="170">
        <f>Tables!$C$18</f>
        <v>6.24</v>
      </c>
      <c r="D97" s="170"/>
      <c r="G97" s="2" t="str">
        <f>Tables!$A$18</f>
        <v>(10-yr)</v>
      </c>
      <c r="H97" s="13"/>
      <c r="I97" s="169"/>
      <c r="J97" s="169"/>
      <c r="K97" s="169"/>
      <c r="L97" s="169"/>
      <c r="M97" s="2"/>
      <c r="N97" s="169"/>
      <c r="O97" s="169"/>
      <c r="P97" s="169"/>
      <c r="Q97" s="169"/>
      <c r="S97" s="169"/>
      <c r="T97" s="169"/>
      <c r="U97" s="169"/>
      <c r="V97" s="169"/>
      <c r="X97" s="169"/>
      <c r="Y97" s="169"/>
      <c r="Z97" s="169"/>
      <c r="AA97" s="169"/>
      <c r="AC97" s="169"/>
      <c r="AD97" s="169"/>
      <c r="AE97" s="169"/>
      <c r="AF97" s="169"/>
      <c r="AH97" s="169"/>
      <c r="AI97" s="169"/>
      <c r="AJ97" s="169"/>
      <c r="AK97" s="169"/>
      <c r="AM97" s="119">
        <f t="shared" si="12"/>
        <v>1</v>
      </c>
      <c r="AN97" s="119">
        <f t="shared" si="13"/>
        <v>1</v>
      </c>
      <c r="AO97" s="119">
        <f t="shared" si="14"/>
        <v>1</v>
      </c>
      <c r="AP97" s="119">
        <f t="shared" si="8"/>
        <v>1</v>
      </c>
      <c r="AQ97" s="119">
        <f t="shared" si="9"/>
        <v>0</v>
      </c>
      <c r="AR97" s="119">
        <f t="shared" si="10"/>
        <v>0</v>
      </c>
      <c r="AS97" s="119">
        <f t="shared" si="11"/>
        <v>1</v>
      </c>
    </row>
    <row r="98" spans="2:47" ht="14.55" customHeight="1" x14ac:dyDescent="0.3">
      <c r="C98" s="170">
        <f>Tables!$C$19</f>
        <v>7.64</v>
      </c>
      <c r="D98" s="170"/>
      <c r="G98" s="2" t="str">
        <f>Tables!$A$19</f>
        <v>(25-yr)</v>
      </c>
      <c r="H98" s="13"/>
      <c r="I98" s="169"/>
      <c r="J98" s="169"/>
      <c r="K98" s="169"/>
      <c r="L98" s="169"/>
      <c r="M98" s="2"/>
      <c r="N98" s="169"/>
      <c r="O98" s="169"/>
      <c r="P98" s="169"/>
      <c r="Q98" s="169"/>
      <c r="S98" s="169"/>
      <c r="T98" s="169"/>
      <c r="U98" s="169"/>
      <c r="V98" s="169"/>
      <c r="X98" s="169"/>
      <c r="Y98" s="169"/>
      <c r="Z98" s="169"/>
      <c r="AA98" s="169"/>
      <c r="AC98" s="169"/>
      <c r="AD98" s="169"/>
      <c r="AE98" s="169"/>
      <c r="AF98" s="169"/>
      <c r="AH98" s="169"/>
      <c r="AI98" s="169"/>
      <c r="AJ98" s="169"/>
      <c r="AK98" s="169"/>
      <c r="AM98" s="119">
        <f t="shared" si="12"/>
        <v>1</v>
      </c>
      <c r="AN98" s="119">
        <f t="shared" si="13"/>
        <v>1</v>
      </c>
      <c r="AO98" s="119">
        <f t="shared" si="14"/>
        <v>1</v>
      </c>
      <c r="AP98" s="119">
        <f t="shared" si="8"/>
        <v>1</v>
      </c>
      <c r="AQ98" s="119">
        <f t="shared" si="9"/>
        <v>0</v>
      </c>
      <c r="AR98" s="119">
        <f t="shared" si="10"/>
        <v>0</v>
      </c>
      <c r="AS98" s="119">
        <f t="shared" si="11"/>
        <v>1</v>
      </c>
    </row>
    <row r="99" spans="2:47" ht="14.55" customHeight="1" x14ac:dyDescent="0.3">
      <c r="C99" s="170">
        <f>Tables!$C$20</f>
        <v>8.8000000000000007</v>
      </c>
      <c r="D99" s="170"/>
      <c r="G99" s="2" t="str">
        <f>Tables!$A$20</f>
        <v>(50-yr)</v>
      </c>
      <c r="H99" s="13"/>
      <c r="I99" s="169"/>
      <c r="J99" s="169"/>
      <c r="K99" s="169"/>
      <c r="L99" s="169"/>
      <c r="M99" s="2"/>
      <c r="N99" s="169"/>
      <c r="O99" s="169"/>
      <c r="P99" s="169"/>
      <c r="Q99" s="169"/>
      <c r="S99" s="169"/>
      <c r="T99" s="169"/>
      <c r="U99" s="169"/>
      <c r="V99" s="169"/>
      <c r="X99" s="169"/>
      <c r="Y99" s="169"/>
      <c r="Z99" s="169"/>
      <c r="AA99" s="169"/>
      <c r="AC99" s="169"/>
      <c r="AD99" s="169"/>
      <c r="AE99" s="169"/>
      <c r="AF99" s="169"/>
      <c r="AH99" s="169"/>
      <c r="AI99" s="169"/>
      <c r="AJ99" s="169"/>
      <c r="AK99" s="169"/>
      <c r="AM99" s="119">
        <f t="shared" si="12"/>
        <v>1</v>
      </c>
      <c r="AN99" s="119">
        <f t="shared" si="13"/>
        <v>1</v>
      </c>
      <c r="AO99" s="121">
        <f>IF(OR(ISBLANK(X99),ISBLANK($AH$47)),0,$AH$47-X99)</f>
        <v>0</v>
      </c>
      <c r="AP99" s="119">
        <f t="shared" si="8"/>
        <v>1</v>
      </c>
      <c r="AQ99" s="119">
        <f t="shared" si="9"/>
        <v>0</v>
      </c>
      <c r="AR99" s="119">
        <f t="shared" si="10"/>
        <v>0</v>
      </c>
      <c r="AS99" s="119">
        <f t="shared" si="11"/>
        <v>1</v>
      </c>
    </row>
    <row r="100" spans="2:47" ht="14.55" customHeight="1" x14ac:dyDescent="0.3">
      <c r="C100" s="170">
        <f>Tables!$C$21</f>
        <v>10</v>
      </c>
      <c r="D100" s="170"/>
      <c r="G100" s="2" t="str">
        <f>Tables!$A$21</f>
        <v>(100-yr)</v>
      </c>
      <c r="H100" s="13"/>
      <c r="I100" s="169"/>
      <c r="J100" s="169"/>
      <c r="K100" s="169"/>
      <c r="L100" s="169"/>
      <c r="M100" s="2"/>
      <c r="N100" s="169"/>
      <c r="O100" s="169"/>
      <c r="P100" s="169"/>
      <c r="Q100" s="169"/>
      <c r="S100" s="169"/>
      <c r="T100" s="169"/>
      <c r="U100" s="169"/>
      <c r="V100" s="169"/>
      <c r="X100" s="169"/>
      <c r="Y100" s="169"/>
      <c r="Z100" s="169"/>
      <c r="AA100" s="169"/>
      <c r="AC100" s="169"/>
      <c r="AD100" s="169"/>
      <c r="AE100" s="169"/>
      <c r="AF100" s="169"/>
      <c r="AH100" s="169"/>
      <c r="AI100" s="169"/>
      <c r="AJ100" s="169"/>
      <c r="AK100" s="169"/>
      <c r="AM100" s="119">
        <f t="shared" si="12"/>
        <v>1</v>
      </c>
      <c r="AN100" s="119">
        <f t="shared" si="13"/>
        <v>1</v>
      </c>
      <c r="AO100" s="121">
        <f>IF(OR(ISBLANK(X100),ISBLANK($AH$47)),0,$AH$47-X100)</f>
        <v>0</v>
      </c>
      <c r="AP100" s="119">
        <f t="shared" si="8"/>
        <v>1</v>
      </c>
      <c r="AQ100" s="119">
        <f>IF($AR$88=0,0,IF($AH100&gt;=$AR$88,1,0))</f>
        <v>0</v>
      </c>
      <c r="AR100" s="119">
        <f>IF($AR$89=0,0,IF($AH100&gt;=$AR$89,1,0))</f>
        <v>0</v>
      </c>
      <c r="AS100" s="119">
        <f t="shared" si="11"/>
        <v>1</v>
      </c>
    </row>
    <row r="101" spans="2:47" ht="4.95" customHeight="1" x14ac:dyDescent="0.3">
      <c r="AU101" s="4"/>
    </row>
    <row r="102" spans="2:47" ht="15" customHeight="1" x14ac:dyDescent="0.3">
      <c r="AM102" s="101" t="s">
        <v>161</v>
      </c>
      <c r="AN102" s="101" t="s">
        <v>162</v>
      </c>
      <c r="AO102" s="101" t="s">
        <v>75</v>
      </c>
      <c r="AP102" s="101" t="s">
        <v>210</v>
      </c>
      <c r="AQ102" s="101" t="s">
        <v>341</v>
      </c>
      <c r="AR102" s="101" t="s">
        <v>413</v>
      </c>
      <c r="AS102" s="101" t="s">
        <v>76</v>
      </c>
      <c r="AU102" s="4"/>
    </row>
    <row r="103" spans="2:47" ht="15" customHeight="1" x14ac:dyDescent="0.3">
      <c r="B103" s="167">
        <f>Tables!$C$13</f>
        <v>45566</v>
      </c>
      <c r="C103" s="167"/>
      <c r="D103" s="167"/>
      <c r="E103" s="167"/>
      <c r="F103" s="167"/>
      <c r="G103" s="96"/>
      <c r="H103" s="96"/>
      <c r="I103" s="96"/>
      <c r="R103" s="189" t="s">
        <v>278</v>
      </c>
      <c r="S103" s="189"/>
      <c r="T103" s="189"/>
      <c r="U103" s="189"/>
      <c r="AU103" s="4"/>
    </row>
    <row r="104" spans="2:47" ht="15" customHeight="1" x14ac:dyDescent="0.3">
      <c r="C104" s="2" t="s">
        <v>1</v>
      </c>
      <c r="D104" s="171">
        <f>IF(ISBLANK($E$15),"",$E$15)</f>
        <v>0</v>
      </c>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c r="AF104" s="2" t="s">
        <v>20</v>
      </c>
      <c r="AG104" s="172">
        <f>IF(ISBLANK($AF$15),0,$AF$15)</f>
        <v>0</v>
      </c>
      <c r="AH104" s="172"/>
      <c r="AI104" s="172"/>
      <c r="AJ104" s="172"/>
      <c r="AK104" s="172"/>
    </row>
    <row r="105" spans="2:47" ht="15" customHeight="1" x14ac:dyDescent="0.3">
      <c r="F105" s="3"/>
      <c r="G105" s="3"/>
      <c r="H105" s="3"/>
      <c r="I105" s="3"/>
      <c r="J105" s="3"/>
      <c r="K105" s="2"/>
      <c r="L105" s="2"/>
      <c r="M105" s="2"/>
      <c r="N105" s="2"/>
      <c r="O105" s="3"/>
      <c r="P105" s="8"/>
      <c r="Q105" s="8"/>
      <c r="R105" s="8"/>
      <c r="S105" s="8"/>
      <c r="T105" s="8"/>
      <c r="U105" s="8"/>
      <c r="V105" s="8"/>
      <c r="W105" s="8"/>
      <c r="X105" s="8"/>
      <c r="Y105" s="8"/>
      <c r="Z105" s="8"/>
      <c r="AA105" s="8"/>
      <c r="AB105" s="8"/>
      <c r="AC105" s="8"/>
      <c r="AD105" s="8"/>
      <c r="AE105" s="8"/>
      <c r="AF105" s="2" t="s">
        <v>34</v>
      </c>
      <c r="AG105" s="168">
        <f>IF(ISBLANK($AF$16),"",$AF$16)</f>
        <v>0</v>
      </c>
      <c r="AH105" s="168"/>
      <c r="AI105" s="168"/>
      <c r="AJ105" s="168"/>
      <c r="AK105" s="168"/>
    </row>
    <row r="106" spans="2:47" ht="15" customHeight="1" x14ac:dyDescent="0.3">
      <c r="B106" s="9" t="s">
        <v>22</v>
      </c>
      <c r="C106" s="9"/>
      <c r="D106" s="9"/>
      <c r="E106" s="9"/>
    </row>
    <row r="107" spans="2:47" ht="15" customHeight="1" x14ac:dyDescent="0.3">
      <c r="B107" s="173"/>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5"/>
    </row>
    <row r="108" spans="2:47" ht="15" customHeight="1" x14ac:dyDescent="0.3">
      <c r="B108" s="176"/>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c r="AK108" s="178"/>
    </row>
    <row r="109" spans="2:47" ht="15" customHeight="1" x14ac:dyDescent="0.3">
      <c r="B109" s="176"/>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c r="AA109" s="177"/>
      <c r="AB109" s="177"/>
      <c r="AC109" s="177"/>
      <c r="AD109" s="177"/>
      <c r="AE109" s="177"/>
      <c r="AF109" s="177"/>
      <c r="AG109" s="177"/>
      <c r="AH109" s="177"/>
      <c r="AI109" s="177"/>
      <c r="AJ109" s="177"/>
      <c r="AK109" s="178"/>
    </row>
    <row r="110" spans="2:47" ht="15" customHeight="1" x14ac:dyDescent="0.3">
      <c r="B110" s="176"/>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c r="AA110" s="177"/>
      <c r="AB110" s="177"/>
      <c r="AC110" s="177"/>
      <c r="AD110" s="177"/>
      <c r="AE110" s="177"/>
      <c r="AF110" s="177"/>
      <c r="AG110" s="177"/>
      <c r="AH110" s="177"/>
      <c r="AI110" s="177"/>
      <c r="AJ110" s="177"/>
      <c r="AK110" s="178"/>
    </row>
    <row r="111" spans="2:47" ht="15" customHeight="1" x14ac:dyDescent="0.3">
      <c r="B111" s="176"/>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7"/>
      <c r="AE111" s="177"/>
      <c r="AF111" s="177"/>
      <c r="AG111" s="177"/>
      <c r="AH111" s="177"/>
      <c r="AI111" s="177"/>
      <c r="AJ111" s="177"/>
      <c r="AK111" s="178"/>
    </row>
    <row r="112" spans="2:47" ht="15" customHeight="1" x14ac:dyDescent="0.3">
      <c r="B112" s="176"/>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7"/>
      <c r="AE112" s="177"/>
      <c r="AF112" s="177"/>
      <c r="AG112" s="177"/>
      <c r="AH112" s="177"/>
      <c r="AI112" s="177"/>
      <c r="AJ112" s="177"/>
      <c r="AK112" s="178"/>
    </row>
    <row r="113" spans="2:40" ht="15" customHeight="1" x14ac:dyDescent="0.3">
      <c r="B113" s="176"/>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8"/>
    </row>
    <row r="114" spans="2:40" ht="15" customHeight="1" x14ac:dyDescent="0.3">
      <c r="B114" s="179"/>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1"/>
    </row>
    <row r="115" spans="2:40" ht="15" customHeight="1" x14ac:dyDescent="0.3">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row>
    <row r="116" spans="2:40" ht="15" customHeight="1" x14ac:dyDescent="0.3">
      <c r="B116" s="1" t="s">
        <v>143</v>
      </c>
      <c r="C116" s="1"/>
      <c r="D116" s="1"/>
      <c r="E116" s="1"/>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row>
    <row r="117" spans="2:40" ht="15" customHeight="1" x14ac:dyDescent="0.3">
      <c r="B117" s="1"/>
      <c r="C117" s="1"/>
      <c r="D117" s="1"/>
      <c r="E117" s="2" t="s">
        <v>178</v>
      </c>
      <c r="F117" s="184"/>
      <c r="G117" s="184"/>
      <c r="H117" s="184"/>
      <c r="I117" s="184"/>
      <c r="J117" s="184"/>
      <c r="K117" s="184"/>
      <c r="L117" s="184"/>
      <c r="M117" s="184"/>
      <c r="N117" s="184"/>
      <c r="O117" s="184"/>
      <c r="P117" s="184"/>
      <c r="Q117" s="184"/>
      <c r="R117" s="184"/>
      <c r="S117" s="184"/>
      <c r="T117" s="184"/>
      <c r="U117" s="184"/>
      <c r="V117" s="184"/>
      <c r="W117" s="6"/>
      <c r="X117" s="6"/>
      <c r="Y117" s="6"/>
      <c r="Z117" s="6"/>
      <c r="AA117" s="6"/>
      <c r="AB117" s="6"/>
      <c r="AC117" s="6"/>
      <c r="AD117" s="6"/>
      <c r="AE117" s="6"/>
      <c r="AF117" s="6"/>
      <c r="AG117" s="6"/>
      <c r="AH117" s="6"/>
      <c r="AI117" s="6"/>
      <c r="AJ117" s="6"/>
      <c r="AK117" s="6"/>
      <c r="AL117" s="6"/>
    </row>
    <row r="118" spans="2:40" ht="15" customHeight="1" x14ac:dyDescent="0.3">
      <c r="C118" s="2"/>
      <c r="D118" s="2"/>
      <c r="E118" s="2" t="s">
        <v>146</v>
      </c>
      <c r="F118" s="185"/>
      <c r="G118" s="185"/>
      <c r="H118" s="185"/>
      <c r="I118" s="185"/>
      <c r="J118" s="185"/>
      <c r="K118" s="185"/>
      <c r="L118" s="185"/>
      <c r="M118" s="185"/>
      <c r="N118" s="185"/>
      <c r="O118" s="185"/>
      <c r="P118" s="185"/>
      <c r="Q118" s="185"/>
      <c r="R118" s="185"/>
      <c r="S118" s="185"/>
      <c r="T118" s="185"/>
      <c r="U118" s="185"/>
      <c r="V118" s="185"/>
      <c r="W118" s="6"/>
      <c r="X118" s="6"/>
      <c r="Y118" s="6"/>
      <c r="Z118" s="6"/>
      <c r="AA118" s="6"/>
      <c r="AB118" s="6"/>
      <c r="AC118" s="6"/>
      <c r="AD118" s="6"/>
      <c r="AE118" s="6"/>
      <c r="AF118" s="6"/>
      <c r="AG118" s="6"/>
      <c r="AH118" s="6"/>
      <c r="AI118" s="6"/>
      <c r="AJ118" s="6"/>
      <c r="AK118" s="6"/>
      <c r="AL118" s="6"/>
    </row>
    <row r="119" spans="2:40" ht="15" customHeight="1" x14ac:dyDescent="0.3">
      <c r="C119" s="2"/>
      <c r="D119" s="2"/>
      <c r="E119" s="2" t="s">
        <v>225</v>
      </c>
      <c r="F119" s="185"/>
      <c r="G119" s="185"/>
      <c r="H119" s="185"/>
      <c r="I119" s="185"/>
      <c r="J119" s="185"/>
      <c r="K119" s="185"/>
      <c r="L119" s="185"/>
      <c r="M119" s="185"/>
      <c r="N119" s="185"/>
      <c r="O119" s="185"/>
      <c r="P119" s="185"/>
      <c r="Q119" s="185"/>
      <c r="R119" s="185"/>
      <c r="S119" s="185"/>
      <c r="T119" s="185"/>
      <c r="U119" s="185"/>
      <c r="V119" s="185"/>
      <c r="Y119" s="2" t="s">
        <v>149</v>
      </c>
      <c r="Z119" s="204"/>
      <c r="AA119" s="204"/>
      <c r="AB119" s="204"/>
      <c r="AC119" s="204"/>
      <c r="AD119" s="2"/>
      <c r="AG119" s="2" t="s">
        <v>150</v>
      </c>
      <c r="AH119" s="241"/>
      <c r="AI119" s="241"/>
      <c r="AJ119" s="241"/>
      <c r="AK119" s="241"/>
      <c r="AL119" s="2"/>
    </row>
    <row r="120" spans="2:40" ht="15" customHeight="1" x14ac:dyDescent="0.3">
      <c r="C120" s="2"/>
      <c r="D120" s="2"/>
      <c r="E120" s="2" t="s">
        <v>280</v>
      </c>
      <c r="F120" s="185"/>
      <c r="G120" s="185"/>
      <c r="H120" s="185"/>
      <c r="I120" s="185"/>
      <c r="J120" s="185"/>
      <c r="K120" s="185"/>
      <c r="L120" s="185"/>
      <c r="M120" s="185"/>
      <c r="N120" s="185"/>
      <c r="O120" s="185"/>
      <c r="P120" s="185"/>
      <c r="Q120" s="185"/>
      <c r="R120" s="185"/>
      <c r="S120" s="185"/>
      <c r="T120" s="185"/>
      <c r="U120" s="185"/>
      <c r="V120" s="185"/>
      <c r="AK120" s="130"/>
      <c r="AL120" s="2"/>
    </row>
    <row r="121" spans="2:40" ht="15" customHeight="1" x14ac:dyDescent="0.3">
      <c r="C121" s="2"/>
      <c r="D121" s="2"/>
      <c r="E121" s="2" t="s">
        <v>147</v>
      </c>
      <c r="F121" s="240"/>
      <c r="G121" s="240"/>
      <c r="H121" s="240"/>
      <c r="I121" s="240"/>
      <c r="J121" s="240"/>
      <c r="K121" s="240"/>
      <c r="L121" s="240"/>
      <c r="M121" s="240"/>
      <c r="N121" s="240"/>
      <c r="O121" s="240"/>
      <c r="P121" s="240"/>
      <c r="Q121" s="240"/>
      <c r="R121" s="240"/>
      <c r="S121" s="240"/>
      <c r="T121" s="240"/>
      <c r="U121" s="240"/>
      <c r="V121" s="240"/>
      <c r="Y121" s="53"/>
      <c r="Z121" s="53"/>
      <c r="AA121" s="53"/>
      <c r="AB121" s="53"/>
      <c r="AC121" s="53"/>
      <c r="AD121" s="2" t="s">
        <v>151</v>
      </c>
      <c r="AE121" s="218"/>
      <c r="AF121" s="218"/>
      <c r="AG121" s="218"/>
      <c r="AH121" s="218"/>
      <c r="AI121" s="218"/>
      <c r="AJ121" s="2"/>
      <c r="AK121" s="6"/>
    </row>
    <row r="122" spans="2:40" ht="4.95" customHeight="1" x14ac:dyDescent="0.3">
      <c r="B122" s="2"/>
      <c r="C122" s="2"/>
      <c r="D122" s="2"/>
      <c r="E122" s="2"/>
      <c r="F122" s="64"/>
      <c r="G122" s="64"/>
      <c r="H122" s="64"/>
      <c r="I122" s="64"/>
      <c r="J122" s="64"/>
      <c r="K122" s="64"/>
      <c r="L122" s="64"/>
      <c r="M122" s="64"/>
      <c r="N122" s="64"/>
      <c r="O122" s="64"/>
      <c r="P122" s="64"/>
      <c r="Q122" s="64"/>
      <c r="R122" s="64"/>
      <c r="S122" s="64"/>
      <c r="T122" s="64"/>
      <c r="U122" s="64"/>
      <c r="V122" s="64"/>
      <c r="Y122" s="6"/>
      <c r="Z122" s="6"/>
      <c r="AA122" s="6"/>
      <c r="AB122" s="6"/>
      <c r="AC122" s="6"/>
      <c r="AD122" s="6"/>
      <c r="AI122" s="6"/>
      <c r="AJ122" s="2"/>
      <c r="AK122" s="6"/>
      <c r="AL122" s="6"/>
    </row>
    <row r="123" spans="2:40" ht="15" customHeight="1" x14ac:dyDescent="0.3">
      <c r="B123" s="1" t="s">
        <v>211</v>
      </c>
      <c r="C123" s="1"/>
      <c r="D123" s="1"/>
      <c r="E123" s="1"/>
      <c r="F123" s="6"/>
      <c r="G123" s="6"/>
      <c r="H123" s="6"/>
      <c r="I123" s="6"/>
      <c r="J123" s="6"/>
      <c r="K123" s="6"/>
      <c r="L123" s="6"/>
      <c r="M123" s="6"/>
      <c r="N123" s="6"/>
      <c r="O123" s="6"/>
      <c r="P123" s="6"/>
      <c r="Q123" s="6"/>
      <c r="R123" s="6"/>
      <c r="S123" s="6"/>
      <c r="T123" s="6"/>
      <c r="U123" s="6"/>
      <c r="V123" s="6"/>
      <c r="Y123" s="61"/>
      <c r="Z123" s="4" t="s">
        <v>144</v>
      </c>
      <c r="AA123" s="6"/>
      <c r="AB123" s="6"/>
      <c r="AC123" s="6"/>
      <c r="AI123" s="6"/>
      <c r="AM123" s="119">
        <f>IF(AND(ISBLANK(F124),ISBLANK(F125),ISBLANK(F126),ISBLANK(Z126),ISBLANK(AH126)),1,2)</f>
        <v>1</v>
      </c>
      <c r="AN123" s="119">
        <f>IF(ISBLANK(Y123),1,2)</f>
        <v>1</v>
      </c>
    </row>
    <row r="124" spans="2:40" ht="15" customHeight="1" x14ac:dyDescent="0.3">
      <c r="C124" s="2"/>
      <c r="D124" s="2"/>
      <c r="E124" s="2" t="s">
        <v>148</v>
      </c>
      <c r="F124" s="184"/>
      <c r="G124" s="184"/>
      <c r="H124" s="184"/>
      <c r="I124" s="184"/>
      <c r="J124" s="184"/>
      <c r="K124" s="184"/>
      <c r="L124" s="184"/>
      <c r="M124" s="184"/>
      <c r="N124" s="184"/>
      <c r="O124" s="184"/>
      <c r="P124" s="184"/>
      <c r="Q124" s="184"/>
      <c r="R124" s="184"/>
      <c r="S124" s="184"/>
      <c r="T124" s="184"/>
      <c r="U124" s="184"/>
      <c r="V124" s="184"/>
    </row>
    <row r="125" spans="2:40" ht="15" customHeight="1" x14ac:dyDescent="0.3">
      <c r="C125" s="2"/>
      <c r="D125" s="2"/>
      <c r="E125" s="2" t="s">
        <v>146</v>
      </c>
      <c r="F125" s="185"/>
      <c r="G125" s="185"/>
      <c r="H125" s="185"/>
      <c r="I125" s="185"/>
      <c r="J125" s="185"/>
      <c r="K125" s="185"/>
      <c r="L125" s="185"/>
      <c r="M125" s="185"/>
      <c r="N125" s="185"/>
      <c r="O125" s="185"/>
      <c r="P125" s="185"/>
      <c r="Q125" s="185"/>
      <c r="R125" s="185"/>
      <c r="S125" s="185"/>
      <c r="T125" s="185"/>
      <c r="U125" s="185"/>
      <c r="V125" s="185"/>
      <c r="AK125" s="6"/>
      <c r="AL125" s="6"/>
    </row>
    <row r="126" spans="2:40" ht="15" customHeight="1" x14ac:dyDescent="0.3">
      <c r="C126" s="2"/>
      <c r="D126" s="2"/>
      <c r="E126" s="2" t="s">
        <v>225</v>
      </c>
      <c r="F126" s="185"/>
      <c r="G126" s="185"/>
      <c r="H126" s="185"/>
      <c r="I126" s="185"/>
      <c r="J126" s="185"/>
      <c r="K126" s="185"/>
      <c r="L126" s="185"/>
      <c r="M126" s="185"/>
      <c r="N126" s="185"/>
      <c r="O126" s="185"/>
      <c r="P126" s="185"/>
      <c r="Q126" s="185"/>
      <c r="R126" s="185"/>
      <c r="S126" s="185"/>
      <c r="T126" s="185"/>
      <c r="U126" s="185"/>
      <c r="V126" s="185"/>
      <c r="Y126" s="2" t="s">
        <v>149</v>
      </c>
      <c r="Z126" s="204"/>
      <c r="AA126" s="204"/>
      <c r="AB126" s="204"/>
      <c r="AC126" s="204"/>
      <c r="AD126" s="2"/>
      <c r="AG126" s="2" t="s">
        <v>150</v>
      </c>
      <c r="AH126" s="241"/>
      <c r="AI126" s="241"/>
      <c r="AJ126" s="241"/>
      <c r="AK126" s="241"/>
      <c r="AL126" s="2"/>
    </row>
    <row r="127" spans="2:40" ht="15" customHeight="1" x14ac:dyDescent="0.3">
      <c r="C127" s="2"/>
      <c r="D127" s="2"/>
      <c r="E127" s="2" t="s">
        <v>280</v>
      </c>
      <c r="F127" s="184"/>
      <c r="G127" s="184"/>
      <c r="H127" s="184"/>
      <c r="I127" s="184"/>
      <c r="J127" s="184"/>
      <c r="K127" s="184"/>
      <c r="L127" s="184"/>
      <c r="M127" s="184"/>
      <c r="N127" s="184"/>
      <c r="O127" s="184"/>
      <c r="P127" s="184"/>
      <c r="Q127" s="184"/>
      <c r="R127" s="184"/>
      <c r="S127" s="184"/>
      <c r="T127" s="184"/>
      <c r="U127" s="184"/>
      <c r="V127" s="184"/>
      <c r="W127" s="6"/>
      <c r="X127" s="6"/>
      <c r="Y127" s="6"/>
      <c r="Z127" s="6"/>
      <c r="AA127" s="6"/>
      <c r="AB127" s="6"/>
      <c r="AC127" s="6"/>
      <c r="AD127" s="2" t="s">
        <v>152</v>
      </c>
      <c r="AE127" s="184"/>
      <c r="AF127" s="184"/>
      <c r="AG127" s="184"/>
      <c r="AH127" s="184"/>
      <c r="AI127" s="184"/>
      <c r="AJ127" s="184"/>
      <c r="AK127" s="184"/>
    </row>
    <row r="128" spans="2:40" ht="15" customHeight="1" x14ac:dyDescent="0.3">
      <c r="C128" s="2"/>
      <c r="D128" s="2"/>
      <c r="E128" s="2" t="s">
        <v>147</v>
      </c>
      <c r="F128" s="240"/>
      <c r="G128" s="240"/>
      <c r="H128" s="240"/>
      <c r="I128" s="240"/>
      <c r="J128" s="240"/>
      <c r="K128" s="240"/>
      <c r="L128" s="240"/>
      <c r="M128" s="240"/>
      <c r="N128" s="240"/>
      <c r="O128" s="240"/>
      <c r="P128" s="240"/>
      <c r="Q128" s="240"/>
      <c r="R128" s="240"/>
      <c r="S128" s="240"/>
      <c r="T128" s="240"/>
      <c r="U128" s="240"/>
      <c r="V128" s="240"/>
      <c r="AD128" s="2" t="s">
        <v>151</v>
      </c>
      <c r="AE128" s="239"/>
      <c r="AF128" s="239"/>
      <c r="AG128" s="239"/>
      <c r="AH128" s="239"/>
      <c r="AI128" s="239"/>
    </row>
    <row r="129" spans="2:38" ht="15" customHeight="1" x14ac:dyDescent="0.3"/>
    <row r="130" spans="2:38" ht="15" customHeight="1" x14ac:dyDescent="0.3">
      <c r="B130" s="1" t="s">
        <v>19</v>
      </c>
      <c r="C130" s="1"/>
      <c r="D130" s="1"/>
      <c r="E130" s="1"/>
      <c r="F130" s="1"/>
      <c r="G130" s="1"/>
      <c r="H130" s="1"/>
      <c r="I130" s="1"/>
      <c r="J130" s="1"/>
    </row>
    <row r="131" spans="2:38" ht="15" customHeight="1" x14ac:dyDescent="0.3">
      <c r="B131" s="249" t="s">
        <v>207</v>
      </c>
      <c r="C131" s="249"/>
      <c r="D131" s="249"/>
      <c r="E131" s="249"/>
      <c r="F131" s="249"/>
      <c r="G131" s="249"/>
      <c r="H131" s="249"/>
      <c r="I131" s="249"/>
      <c r="J131" s="249"/>
      <c r="K131" s="249"/>
      <c r="L131" s="249"/>
      <c r="M131" s="249"/>
      <c r="N131" s="249"/>
      <c r="O131" s="249"/>
      <c r="P131" s="249"/>
      <c r="Q131" s="249"/>
      <c r="R131" s="249"/>
      <c r="S131" s="249"/>
      <c r="T131" s="249"/>
      <c r="U131" s="249"/>
      <c r="V131" s="249"/>
      <c r="W131" s="249"/>
      <c r="X131" s="249"/>
      <c r="Y131" s="249"/>
      <c r="Z131" s="249"/>
      <c r="AA131" s="249"/>
      <c r="AB131" s="249"/>
      <c r="AC131" s="249"/>
      <c r="AD131" s="249"/>
      <c r="AE131" s="249"/>
      <c r="AF131" s="249"/>
      <c r="AG131" s="249"/>
      <c r="AH131" s="249"/>
      <c r="AI131" s="249"/>
      <c r="AJ131" s="249"/>
      <c r="AK131" s="249"/>
      <c r="AL131" s="65"/>
    </row>
    <row r="132" spans="2:38" ht="15" customHeight="1" x14ac:dyDescent="0.3">
      <c r="B132" s="249"/>
      <c r="C132" s="249"/>
      <c r="D132" s="249"/>
      <c r="E132" s="249"/>
      <c r="F132" s="249"/>
      <c r="G132" s="249"/>
      <c r="H132" s="249"/>
      <c r="I132" s="249"/>
      <c r="J132" s="249"/>
      <c r="K132" s="249"/>
      <c r="L132" s="249"/>
      <c r="M132" s="249"/>
      <c r="N132" s="249"/>
      <c r="O132" s="249"/>
      <c r="P132" s="249"/>
      <c r="Q132" s="249"/>
      <c r="R132" s="249"/>
      <c r="S132" s="249"/>
      <c r="T132" s="249"/>
      <c r="U132" s="249"/>
      <c r="V132" s="249"/>
      <c r="W132" s="249"/>
      <c r="X132" s="249"/>
      <c r="Y132" s="249"/>
      <c r="Z132" s="249"/>
      <c r="AA132" s="249"/>
      <c r="AB132" s="249"/>
      <c r="AC132" s="249"/>
      <c r="AD132" s="249"/>
      <c r="AE132" s="249"/>
      <c r="AF132" s="249"/>
      <c r="AG132" s="249"/>
      <c r="AH132" s="249"/>
      <c r="AI132" s="249"/>
      <c r="AJ132" s="249"/>
      <c r="AK132" s="249"/>
      <c r="AL132" s="65"/>
    </row>
    <row r="133" spans="2:38" ht="15" customHeight="1" x14ac:dyDescent="0.3">
      <c r="B133" s="249"/>
      <c r="C133" s="249"/>
      <c r="D133" s="249"/>
      <c r="E133" s="249"/>
      <c r="F133" s="249"/>
      <c r="G133" s="249"/>
      <c r="H133" s="249"/>
      <c r="I133" s="249"/>
      <c r="J133" s="249"/>
      <c r="K133" s="249"/>
      <c r="L133" s="249"/>
      <c r="M133" s="249"/>
      <c r="N133" s="249"/>
      <c r="O133" s="249"/>
      <c r="P133" s="249"/>
      <c r="Q133" s="249"/>
      <c r="R133" s="249"/>
      <c r="S133" s="249"/>
      <c r="T133" s="249"/>
      <c r="U133" s="249"/>
      <c r="V133" s="249"/>
      <c r="W133" s="249"/>
      <c r="X133" s="249"/>
      <c r="Y133" s="249"/>
      <c r="Z133" s="249"/>
      <c r="AA133" s="249"/>
      <c r="AB133" s="249"/>
      <c r="AC133" s="249"/>
      <c r="AD133" s="249"/>
      <c r="AE133" s="249"/>
      <c r="AF133" s="249"/>
      <c r="AG133" s="249"/>
      <c r="AH133" s="249"/>
      <c r="AI133" s="249"/>
      <c r="AJ133" s="249"/>
      <c r="AK133" s="249"/>
      <c r="AL133" s="65"/>
    </row>
    <row r="134" spans="2:38" ht="15" customHeight="1" x14ac:dyDescent="0.3">
      <c r="B134" s="249"/>
      <c r="C134" s="249"/>
      <c r="D134" s="249"/>
      <c r="E134" s="249"/>
      <c r="F134" s="249"/>
      <c r="G134" s="249"/>
      <c r="H134" s="249"/>
      <c r="I134" s="249"/>
      <c r="J134" s="249"/>
      <c r="K134" s="249"/>
      <c r="L134" s="249"/>
      <c r="M134" s="249"/>
      <c r="N134" s="249"/>
      <c r="O134" s="249"/>
      <c r="P134" s="249"/>
      <c r="Q134" s="249"/>
      <c r="R134" s="249"/>
      <c r="S134" s="249"/>
      <c r="T134" s="249"/>
      <c r="U134" s="249"/>
      <c r="V134" s="249"/>
      <c r="W134" s="249"/>
      <c r="X134" s="249"/>
      <c r="Y134" s="249"/>
      <c r="Z134" s="249"/>
      <c r="AA134" s="249"/>
      <c r="AB134" s="249"/>
      <c r="AC134" s="249"/>
      <c r="AD134" s="249"/>
      <c r="AE134" s="249"/>
      <c r="AF134" s="249"/>
      <c r="AG134" s="249"/>
      <c r="AH134" s="249"/>
      <c r="AI134" s="249"/>
      <c r="AJ134" s="249"/>
      <c r="AK134" s="249"/>
      <c r="AL134" s="65"/>
    </row>
    <row r="135" spans="2:38" ht="15" customHeight="1" x14ac:dyDescent="0.3">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row>
    <row r="136" spans="2:38" ht="15" customHeight="1" x14ac:dyDescent="0.3">
      <c r="D136" s="2" t="s">
        <v>178</v>
      </c>
      <c r="E136" s="184"/>
      <c r="F136" s="184"/>
      <c r="G136" s="184"/>
      <c r="H136" s="184"/>
      <c r="I136" s="184"/>
      <c r="J136" s="184"/>
      <c r="K136" s="184"/>
      <c r="L136" s="184"/>
      <c r="M136" s="184"/>
      <c r="N136" s="184"/>
      <c r="O136" s="184"/>
      <c r="P136" s="184"/>
      <c r="Q136" s="184"/>
      <c r="R136" s="184"/>
      <c r="S136" s="184"/>
      <c r="T136" s="184"/>
      <c r="U136" s="184"/>
      <c r="V136" s="184"/>
      <c r="W136" s="184"/>
      <c r="X136" s="184"/>
      <c r="Y136" s="184"/>
      <c r="AB136" s="2" t="s">
        <v>252</v>
      </c>
      <c r="AC136" s="2"/>
      <c r="AD136" s="2"/>
      <c r="AE136" s="2"/>
    </row>
    <row r="137" spans="2:38" ht="15" customHeight="1" x14ac:dyDescent="0.3">
      <c r="D137" s="2" t="s">
        <v>145</v>
      </c>
      <c r="E137" s="185"/>
      <c r="F137" s="185"/>
      <c r="G137" s="185"/>
      <c r="H137" s="185"/>
      <c r="I137" s="185"/>
      <c r="J137" s="185"/>
      <c r="K137" s="185"/>
      <c r="L137" s="185"/>
      <c r="M137" s="185"/>
      <c r="N137" s="185"/>
      <c r="O137" s="185"/>
      <c r="P137" s="185"/>
      <c r="Q137" s="185"/>
      <c r="R137" s="185"/>
      <c r="S137" s="185"/>
      <c r="T137" s="185"/>
      <c r="U137" s="185"/>
      <c r="V137" s="185"/>
      <c r="W137" s="185"/>
      <c r="X137" s="185"/>
      <c r="Y137" s="185"/>
    </row>
    <row r="138" spans="2:38" ht="15" customHeight="1" x14ac:dyDescent="0.3">
      <c r="D138" s="2" t="s">
        <v>146</v>
      </c>
      <c r="E138" s="185"/>
      <c r="F138" s="185"/>
      <c r="G138" s="185"/>
      <c r="H138" s="185"/>
      <c r="I138" s="185"/>
      <c r="J138" s="185"/>
      <c r="K138" s="185"/>
      <c r="L138" s="185"/>
      <c r="M138" s="185"/>
      <c r="N138" s="185"/>
      <c r="O138" s="185"/>
      <c r="P138" s="185"/>
      <c r="Q138" s="185"/>
      <c r="R138" s="185"/>
      <c r="S138" s="185"/>
      <c r="T138" s="185"/>
      <c r="U138" s="185"/>
      <c r="V138" s="185"/>
      <c r="W138" s="185"/>
      <c r="X138" s="185"/>
      <c r="Y138" s="185"/>
    </row>
    <row r="139" spans="2:38" ht="15" customHeight="1" x14ac:dyDescent="0.3">
      <c r="D139" s="2" t="s">
        <v>225</v>
      </c>
      <c r="E139" s="185"/>
      <c r="F139" s="185"/>
      <c r="G139" s="185"/>
      <c r="H139" s="185"/>
      <c r="I139" s="185"/>
      <c r="J139" s="185"/>
      <c r="K139" s="185"/>
      <c r="L139" s="73"/>
      <c r="M139" s="73"/>
      <c r="N139" s="129" t="s">
        <v>149</v>
      </c>
      <c r="O139" s="185"/>
      <c r="P139" s="185"/>
      <c r="Q139" s="185"/>
      <c r="R139" s="185"/>
      <c r="S139" s="73"/>
      <c r="T139" s="73"/>
      <c r="U139" s="73"/>
      <c r="V139" s="129" t="s">
        <v>150</v>
      </c>
      <c r="W139" s="183"/>
      <c r="X139" s="183"/>
      <c r="Y139" s="183"/>
    </row>
    <row r="140" spans="2:38" ht="15" customHeight="1" x14ac:dyDescent="0.3">
      <c r="D140" s="2" t="s">
        <v>147</v>
      </c>
      <c r="E140" s="186"/>
      <c r="F140" s="186"/>
      <c r="G140" s="186"/>
      <c r="H140" s="186"/>
      <c r="I140" s="186"/>
      <c r="J140" s="186"/>
      <c r="K140" s="186"/>
      <c r="L140" s="186"/>
      <c r="M140" s="186"/>
      <c r="N140" s="186"/>
      <c r="O140" s="186"/>
      <c r="P140" s="186"/>
      <c r="Q140" s="186"/>
      <c r="R140" s="186"/>
      <c r="S140" s="186"/>
      <c r="T140" s="186"/>
      <c r="U140" s="186"/>
      <c r="V140" s="186"/>
      <c r="W140" s="186"/>
      <c r="X140" s="186"/>
      <c r="Y140" s="186"/>
    </row>
    <row r="141" spans="2:38" ht="15" customHeight="1" x14ac:dyDescent="0.3">
      <c r="D141" s="2" t="s">
        <v>151</v>
      </c>
      <c r="E141" s="182"/>
      <c r="F141" s="182"/>
      <c r="G141" s="182"/>
      <c r="H141" s="182"/>
      <c r="I141" s="182"/>
      <c r="U141" s="65"/>
      <c r="V141" s="65"/>
      <c r="W141" s="65"/>
    </row>
    <row r="142" spans="2:38" ht="15" customHeight="1" x14ac:dyDescent="0.3">
      <c r="D142" s="2"/>
      <c r="E142" s="73"/>
      <c r="F142" s="73"/>
      <c r="G142" s="73"/>
      <c r="H142" s="73"/>
      <c r="I142" s="73"/>
      <c r="U142" s="65"/>
      <c r="V142" s="65"/>
      <c r="W142" s="65"/>
    </row>
    <row r="143" spans="2:38" ht="15" customHeight="1" x14ac:dyDescent="0.3">
      <c r="D143" s="2" t="s">
        <v>179</v>
      </c>
      <c r="E143" s="87"/>
      <c r="F143" s="87"/>
      <c r="G143" s="87"/>
      <c r="H143" s="87"/>
      <c r="I143" s="87"/>
      <c r="J143" s="87"/>
      <c r="K143" s="87"/>
      <c r="L143" s="87"/>
      <c r="M143" s="87"/>
      <c r="N143" s="87"/>
      <c r="O143" s="87"/>
      <c r="P143" s="87"/>
      <c r="Q143" s="87"/>
      <c r="R143" s="87"/>
      <c r="S143" s="87"/>
      <c r="T143" s="87"/>
      <c r="U143" s="65"/>
      <c r="V143" s="65"/>
      <c r="W143" s="65"/>
      <c r="AB143" s="2" t="s">
        <v>172</v>
      </c>
      <c r="AC143" s="190"/>
      <c r="AD143" s="190"/>
      <c r="AE143" s="190"/>
      <c r="AF143" s="190"/>
      <c r="AG143" s="190"/>
    </row>
    <row r="144" spans="2:38" ht="15" customHeight="1" x14ac:dyDescent="0.3"/>
    <row r="145" spans="2:42" ht="15" customHeight="1" x14ac:dyDescent="0.3"/>
    <row r="146" spans="2:42" ht="15" customHeight="1" x14ac:dyDescent="0.3"/>
    <row r="147" spans="2:42" ht="15" customHeight="1" x14ac:dyDescent="0.3">
      <c r="B147" s="167">
        <f>Tables!$C$13</f>
        <v>45566</v>
      </c>
      <c r="C147" s="167"/>
      <c r="D147" s="167"/>
      <c r="E147" s="167"/>
      <c r="F147" s="167"/>
      <c r="G147" s="96"/>
      <c r="H147" s="96"/>
      <c r="I147" s="96"/>
      <c r="R147" s="4" t="s">
        <v>277</v>
      </c>
    </row>
    <row r="148" spans="2:42" ht="15" customHeight="1" x14ac:dyDescent="0.3">
      <c r="C148" s="2" t="s">
        <v>1</v>
      </c>
      <c r="D148" s="171">
        <f>IF(ISBLANK($E$15),"",$E$15)</f>
        <v>0</v>
      </c>
      <c r="E148" s="171"/>
      <c r="F148" s="171"/>
      <c r="G148" s="171"/>
      <c r="H148" s="171"/>
      <c r="I148" s="171"/>
      <c r="J148" s="171"/>
      <c r="K148" s="171"/>
      <c r="L148" s="171"/>
      <c r="M148" s="171"/>
      <c r="N148" s="171"/>
      <c r="O148" s="171"/>
      <c r="P148" s="171"/>
      <c r="Q148" s="171"/>
      <c r="R148" s="171"/>
      <c r="S148" s="171"/>
      <c r="T148" s="171"/>
      <c r="U148" s="171"/>
      <c r="V148" s="171"/>
      <c r="W148" s="171"/>
      <c r="X148" s="171"/>
      <c r="Y148" s="171"/>
      <c r="Z148" s="171"/>
      <c r="AF148" s="2" t="s">
        <v>20</v>
      </c>
      <c r="AG148" s="172">
        <f>IF(ISBLANK($AF$15),0,$AF$15)</f>
        <v>0</v>
      </c>
      <c r="AH148" s="172"/>
      <c r="AI148" s="172"/>
      <c r="AJ148" s="172"/>
      <c r="AK148" s="172"/>
    </row>
    <row r="149" spans="2:42" ht="15" customHeight="1" x14ac:dyDescent="0.3">
      <c r="F149" s="3"/>
      <c r="G149" s="3"/>
      <c r="H149" s="3"/>
      <c r="I149" s="3"/>
      <c r="J149" s="3"/>
      <c r="K149" s="2"/>
      <c r="L149" s="2"/>
      <c r="M149" s="2"/>
      <c r="N149" s="2"/>
      <c r="O149" s="3"/>
      <c r="P149" s="8"/>
      <c r="Q149" s="8"/>
      <c r="R149" s="8"/>
      <c r="S149" s="8"/>
      <c r="T149" s="8"/>
      <c r="U149" s="8"/>
      <c r="V149" s="8"/>
      <c r="W149" s="8"/>
      <c r="X149" s="8"/>
      <c r="Y149" s="8"/>
      <c r="Z149" s="8"/>
      <c r="AA149" s="8"/>
      <c r="AB149" s="8"/>
      <c r="AC149" s="8"/>
      <c r="AD149" s="8"/>
      <c r="AE149" s="8"/>
      <c r="AF149" s="2" t="s">
        <v>34</v>
      </c>
      <c r="AG149" s="168">
        <f>IF(ISBLANK($AF$16),"",$AF$16)</f>
        <v>0</v>
      </c>
      <c r="AH149" s="168"/>
      <c r="AI149" s="168"/>
      <c r="AJ149" s="168"/>
      <c r="AK149" s="168"/>
    </row>
    <row r="150" spans="2:42" ht="15" customHeight="1" x14ac:dyDescent="0.3">
      <c r="B150" s="1" t="s">
        <v>99</v>
      </c>
      <c r="F150" s="3"/>
      <c r="G150" s="3"/>
      <c r="H150" s="3"/>
      <c r="I150" s="3"/>
      <c r="J150" s="3"/>
      <c r="K150" s="2"/>
      <c r="L150" s="2"/>
      <c r="M150" s="2"/>
      <c r="N150" s="2"/>
      <c r="O150" s="3"/>
      <c r="P150" s="8"/>
      <c r="Q150" s="8"/>
      <c r="R150" s="8"/>
      <c r="S150" s="8"/>
      <c r="T150" s="8"/>
      <c r="U150" s="8"/>
      <c r="V150" s="8"/>
      <c r="W150" s="8"/>
      <c r="X150" s="8"/>
      <c r="Y150" s="8"/>
      <c r="Z150" s="8"/>
      <c r="AA150" s="8"/>
      <c r="AB150" s="8"/>
      <c r="AC150" s="8"/>
      <c r="AD150" s="8"/>
      <c r="AE150" s="8"/>
      <c r="AF150" s="8"/>
      <c r="AG150" s="8"/>
      <c r="AH150" s="8"/>
      <c r="AI150" s="8"/>
      <c r="AJ150" s="8"/>
      <c r="AK150" s="8"/>
    </row>
    <row r="151" spans="2:42" ht="15" customHeight="1" x14ac:dyDescent="0.3">
      <c r="D151" s="4" t="s">
        <v>177</v>
      </c>
      <c r="F151" s="4" t="s">
        <v>154</v>
      </c>
      <c r="W151" s="189" t="s">
        <v>275</v>
      </c>
      <c r="X151" s="189"/>
      <c r="Y151" s="189"/>
      <c r="Z151" s="189"/>
      <c r="AB151" s="189" t="s">
        <v>274</v>
      </c>
      <c r="AC151" s="189"/>
      <c r="AD151" s="189"/>
      <c r="AE151" s="189"/>
      <c r="AF151" s="189"/>
      <c r="AG151" s="189"/>
      <c r="AH151" s="189"/>
      <c r="AM151" s="119">
        <f>SUM(AM155,AM157,AM159,AM161,AM163,AM165,AM167)</f>
        <v>7</v>
      </c>
      <c r="AN151" s="101"/>
      <c r="AP151" s="119">
        <f>SUM(AP155,AP157,AP159,AP161,AP163,AP165,AP167)</f>
        <v>0</v>
      </c>
    </row>
    <row r="152" spans="2:42" ht="4.95" customHeight="1" x14ac:dyDescent="0.3">
      <c r="AM152" s="101"/>
      <c r="AN152" s="101"/>
    </row>
    <row r="153" spans="2:42" ht="15" customHeight="1" x14ac:dyDescent="0.3">
      <c r="D153" s="74"/>
      <c r="F153" s="74"/>
      <c r="H153" s="4" t="s">
        <v>397</v>
      </c>
      <c r="AM153" s="119">
        <f>IF(AND(ISBLANK(D153),ISBLANK(F153)),1,2)</f>
        <v>1</v>
      </c>
      <c r="AN153" s="119">
        <f>IF(ISBLANK(F153),1,2)</f>
        <v>1</v>
      </c>
      <c r="AO153" s="119">
        <f>IF(ISBLANK(D153),1,2)</f>
        <v>1</v>
      </c>
      <c r="AP153" s="119">
        <f>IF(ISBLANK(F153),0,1)</f>
        <v>0</v>
      </c>
    </row>
    <row r="154" spans="2:42" ht="4.95" customHeight="1" x14ac:dyDescent="0.3">
      <c r="AM154" s="101"/>
      <c r="AN154" s="101"/>
    </row>
    <row r="155" spans="2:42" ht="15" customHeight="1" x14ac:dyDescent="0.3">
      <c r="D155" s="74"/>
      <c r="F155" s="74"/>
      <c r="H155" s="4" t="s">
        <v>303</v>
      </c>
      <c r="X155" s="204"/>
      <c r="Y155" s="204"/>
      <c r="AB155" s="224"/>
      <c r="AC155" s="224"/>
      <c r="AD155" s="224"/>
      <c r="AE155" s="224"/>
      <c r="AF155" s="224"/>
      <c r="AG155" s="224"/>
      <c r="AH155" s="224"/>
      <c r="AM155" s="119">
        <f>IF(AND(ISBLANK(D155),ISBLANK(F155)),1,2)</f>
        <v>1</v>
      </c>
      <c r="AN155" s="119">
        <f>IF(ISBLANK(F155),1,2)</f>
        <v>1</v>
      </c>
      <c r="AO155" s="119">
        <f>IF(ISBLANK(D155),1,2)</f>
        <v>1</v>
      </c>
      <c r="AP155" s="119">
        <f>IF(ISBLANK(F155),0,1)</f>
        <v>0</v>
      </c>
    </row>
    <row r="156" spans="2:42" ht="4.95" customHeight="1" x14ac:dyDescent="0.3">
      <c r="AM156" s="101"/>
      <c r="AN156" s="101"/>
    </row>
    <row r="157" spans="2:42" ht="15" customHeight="1" x14ac:dyDescent="0.3">
      <c r="D157" s="74"/>
      <c r="F157" s="74"/>
      <c r="H157" s="4" t="s">
        <v>405</v>
      </c>
      <c r="X157" s="204"/>
      <c r="Y157" s="204"/>
      <c r="AB157" s="224"/>
      <c r="AC157" s="224"/>
      <c r="AD157" s="224"/>
      <c r="AE157" s="224"/>
      <c r="AF157" s="224"/>
      <c r="AG157" s="224"/>
      <c r="AH157" s="224"/>
      <c r="AM157" s="119">
        <f>IF(AND(ISBLANK(D157),ISBLANK(F157)),1,2)</f>
        <v>1</v>
      </c>
      <c r="AN157" s="119">
        <f>IF(ISBLANK(F157),1,2)</f>
        <v>1</v>
      </c>
      <c r="AO157" s="119">
        <f>IF(ISBLANK(D157),1,2)</f>
        <v>1</v>
      </c>
      <c r="AP157" s="119">
        <f>IF(ISBLANK(F157),0,1)</f>
        <v>0</v>
      </c>
    </row>
    <row r="158" spans="2:42" ht="4.95" customHeight="1" x14ac:dyDescent="0.3">
      <c r="AM158" s="101"/>
      <c r="AN158" s="101"/>
    </row>
    <row r="159" spans="2:42" ht="15" customHeight="1" x14ac:dyDescent="0.3">
      <c r="D159" s="74"/>
      <c r="F159" s="74"/>
      <c r="H159" s="4" t="s">
        <v>300</v>
      </c>
      <c r="X159" s="204"/>
      <c r="Y159" s="204"/>
      <c r="AB159" s="224"/>
      <c r="AC159" s="224"/>
      <c r="AD159" s="224"/>
      <c r="AE159" s="224"/>
      <c r="AF159" s="224"/>
      <c r="AG159" s="224"/>
      <c r="AH159" s="224"/>
      <c r="AM159" s="119">
        <f>IF(AND(ISBLANK(D159),ISBLANK(F159)),1,2)</f>
        <v>1</v>
      </c>
      <c r="AN159" s="119">
        <f>IF(ISBLANK(F159),1,2)</f>
        <v>1</v>
      </c>
      <c r="AO159" s="119">
        <f>IF(ISBLANK(D159),1,2)</f>
        <v>1</v>
      </c>
      <c r="AP159" s="119">
        <f>IF(ISBLANK(F159),0,1)</f>
        <v>0</v>
      </c>
    </row>
    <row r="160" spans="2:42" ht="4.95" customHeight="1" x14ac:dyDescent="0.3">
      <c r="C160" s="3"/>
      <c r="D160" s="3"/>
      <c r="E160" s="3"/>
      <c r="F160" s="2"/>
      <c r="G160" s="2"/>
      <c r="J160" s="3"/>
      <c r="K160" s="8"/>
      <c r="L160" s="8"/>
      <c r="M160" s="8"/>
      <c r="N160" s="8"/>
      <c r="O160" s="8"/>
      <c r="P160" s="8"/>
      <c r="X160" s="8"/>
      <c r="Y160" s="8"/>
      <c r="Z160" s="8"/>
      <c r="AA160" s="8"/>
      <c r="AB160" s="8"/>
      <c r="AC160" s="8"/>
      <c r="AD160" s="8"/>
      <c r="AE160" s="8"/>
      <c r="AF160" s="8"/>
      <c r="AG160" s="8"/>
      <c r="AH160" s="8"/>
      <c r="AI160" s="8"/>
      <c r="AJ160" s="8"/>
      <c r="AK160" s="8"/>
    </row>
    <row r="161" spans="2:42" ht="15" customHeight="1" x14ac:dyDescent="0.3">
      <c r="C161" s="3"/>
      <c r="D161" s="74"/>
      <c r="F161" s="74"/>
      <c r="H161" s="4" t="s">
        <v>301</v>
      </c>
      <c r="X161" s="204"/>
      <c r="Y161" s="204"/>
      <c r="AB161" s="224"/>
      <c r="AC161" s="224"/>
      <c r="AD161" s="224"/>
      <c r="AE161" s="224"/>
      <c r="AF161" s="224"/>
      <c r="AG161" s="224"/>
      <c r="AH161" s="224"/>
      <c r="AM161" s="119">
        <f>IF(AND(ISBLANK(D161),ISBLANK(F161)),1,2)</f>
        <v>1</v>
      </c>
      <c r="AN161" s="119">
        <f>IF(ISBLANK(F161),1,2)</f>
        <v>1</v>
      </c>
      <c r="AO161" s="119">
        <f>IF(ISBLANK(D161),1,2)</f>
        <v>1</v>
      </c>
      <c r="AP161" s="119">
        <f>IF(ISBLANK(F161),0,1)</f>
        <v>0</v>
      </c>
    </row>
    <row r="162" spans="2:42" ht="4.95" customHeight="1" x14ac:dyDescent="0.3">
      <c r="F162" s="3"/>
      <c r="G162" s="3"/>
      <c r="I162" s="3"/>
      <c r="J162" s="3"/>
      <c r="K162" s="2"/>
      <c r="L162" s="2"/>
      <c r="M162" s="2"/>
      <c r="N162" s="2"/>
      <c r="O162" s="3"/>
      <c r="P162" s="8"/>
      <c r="Q162" s="8"/>
      <c r="R162" s="8"/>
      <c r="S162" s="8"/>
      <c r="T162" s="8"/>
      <c r="U162" s="8"/>
      <c r="V162" s="8"/>
      <c r="W162" s="8"/>
      <c r="X162" s="8"/>
      <c r="Y162" s="8"/>
      <c r="Z162" s="8"/>
      <c r="AA162" s="8"/>
      <c r="AB162" s="8"/>
      <c r="AC162" s="8"/>
      <c r="AD162" s="8"/>
      <c r="AE162" s="8"/>
      <c r="AF162" s="8"/>
      <c r="AG162" s="8"/>
      <c r="AH162" s="8"/>
      <c r="AI162" s="8"/>
      <c r="AJ162" s="8"/>
      <c r="AK162" s="8"/>
    </row>
    <row r="163" spans="2:42" ht="15" customHeight="1" x14ac:dyDescent="0.3">
      <c r="D163" s="74"/>
      <c r="F163" s="74"/>
      <c r="G163" s="3"/>
      <c r="H163" s="4" t="s">
        <v>302</v>
      </c>
      <c r="I163" s="3"/>
      <c r="J163" s="3"/>
      <c r="K163" s="2"/>
      <c r="L163" s="2"/>
      <c r="M163" s="2"/>
      <c r="N163" s="2"/>
      <c r="O163" s="3"/>
      <c r="P163" s="8"/>
      <c r="Q163" s="8"/>
      <c r="R163" s="8"/>
      <c r="S163" s="8"/>
      <c r="T163" s="8"/>
      <c r="U163" s="8"/>
      <c r="V163" s="8"/>
      <c r="W163" s="8"/>
      <c r="X163" s="204"/>
      <c r="Y163" s="204"/>
      <c r="AB163" s="224"/>
      <c r="AC163" s="224"/>
      <c r="AD163" s="224"/>
      <c r="AE163" s="224"/>
      <c r="AF163" s="224"/>
      <c r="AG163" s="224"/>
      <c r="AH163" s="224"/>
      <c r="AI163" s="8"/>
      <c r="AJ163" s="8"/>
      <c r="AK163" s="8"/>
      <c r="AM163" s="119">
        <f>IF(AND(ISBLANK(D163),ISBLANK(F163)),1,2)</f>
        <v>1</v>
      </c>
      <c r="AN163" s="119">
        <f>IF(ISBLANK(F163),1,2)</f>
        <v>1</v>
      </c>
      <c r="AO163" s="119">
        <f>IF(ISBLANK(D163),1,2)</f>
        <v>1</v>
      </c>
      <c r="AP163" s="119">
        <f>IF(ISBLANK(F163),0,1)</f>
        <v>0</v>
      </c>
    </row>
    <row r="164" spans="2:42" ht="4.95" customHeight="1" x14ac:dyDescent="0.3">
      <c r="F164" s="3"/>
      <c r="G164" s="3"/>
      <c r="H164" s="3"/>
      <c r="I164" s="3"/>
      <c r="J164" s="3"/>
      <c r="K164" s="2"/>
      <c r="L164" s="2"/>
      <c r="M164" s="2"/>
      <c r="N164" s="2"/>
      <c r="O164" s="3"/>
      <c r="P164" s="8"/>
      <c r="Q164" s="8"/>
      <c r="R164" s="8"/>
      <c r="S164" s="8"/>
      <c r="T164" s="8"/>
      <c r="U164" s="8"/>
      <c r="V164" s="8"/>
      <c r="W164" s="8"/>
      <c r="X164" s="8"/>
      <c r="Y164" s="8"/>
      <c r="Z164" s="8"/>
      <c r="AA164" s="8"/>
      <c r="AB164" s="8"/>
      <c r="AC164" s="8"/>
      <c r="AD164" s="8"/>
      <c r="AE164" s="8"/>
      <c r="AF164" s="8"/>
      <c r="AG164" s="8"/>
      <c r="AH164" s="8"/>
      <c r="AI164" s="8"/>
      <c r="AJ164" s="8"/>
      <c r="AK164" s="8"/>
    </row>
    <row r="165" spans="2:42" ht="15" customHeight="1" x14ac:dyDescent="0.3">
      <c r="D165" s="74"/>
      <c r="F165" s="74"/>
      <c r="G165" s="3"/>
      <c r="H165" s="4" t="s">
        <v>304</v>
      </c>
      <c r="I165" s="3"/>
      <c r="J165" s="3"/>
      <c r="K165" s="2"/>
      <c r="L165" s="2"/>
      <c r="M165" s="2"/>
      <c r="N165" s="2"/>
      <c r="O165" s="3"/>
      <c r="P165" s="8"/>
      <c r="Q165" s="8"/>
      <c r="R165" s="8"/>
      <c r="S165" s="8"/>
      <c r="T165" s="8"/>
      <c r="U165" s="8"/>
      <c r="V165" s="8"/>
      <c r="W165" s="8"/>
      <c r="X165" s="204"/>
      <c r="Y165" s="204"/>
      <c r="AB165" s="224"/>
      <c r="AC165" s="224"/>
      <c r="AD165" s="224"/>
      <c r="AE165" s="224"/>
      <c r="AF165" s="224"/>
      <c r="AG165" s="224"/>
      <c r="AH165" s="224"/>
      <c r="AI165" s="8"/>
      <c r="AJ165" s="8"/>
      <c r="AK165" s="8"/>
      <c r="AM165" s="119">
        <f>IF(AND(ISBLANK(D165),ISBLANK(F165)),1,2)</f>
        <v>1</v>
      </c>
      <c r="AN165" s="119">
        <f>IF(ISBLANK(F165),1,2)</f>
        <v>1</v>
      </c>
      <c r="AO165" s="119">
        <f>IF(ISBLANK(D165),1,2)</f>
        <v>1</v>
      </c>
      <c r="AP165" s="119">
        <f>IF(ISBLANK(F165),0,1)</f>
        <v>0</v>
      </c>
    </row>
    <row r="166" spans="2:42" ht="4.95" customHeight="1" x14ac:dyDescent="0.3">
      <c r="F166" s="3"/>
      <c r="G166" s="3"/>
      <c r="H166" s="3"/>
      <c r="I166" s="3"/>
      <c r="J166" s="3"/>
      <c r="K166" s="2"/>
      <c r="L166" s="2"/>
      <c r="M166" s="2"/>
      <c r="N166" s="2"/>
      <c r="O166" s="3"/>
      <c r="P166" s="8"/>
      <c r="Q166" s="8"/>
      <c r="R166" s="8"/>
      <c r="S166" s="8"/>
      <c r="T166" s="8"/>
      <c r="U166" s="8"/>
      <c r="V166" s="8"/>
      <c r="W166" s="8"/>
      <c r="X166" s="8"/>
      <c r="Y166" s="8"/>
      <c r="Z166" s="8"/>
      <c r="AA166" s="8"/>
      <c r="AB166" s="8"/>
      <c r="AC166" s="8"/>
      <c r="AD166" s="8"/>
      <c r="AE166" s="8"/>
      <c r="AF166" s="8"/>
      <c r="AG166" s="8"/>
      <c r="AH166" s="8"/>
      <c r="AI166" s="8"/>
      <c r="AJ166" s="8"/>
      <c r="AK166" s="8"/>
    </row>
    <row r="167" spans="2:42" ht="15" customHeight="1" x14ac:dyDescent="0.3">
      <c r="F167" s="3"/>
      <c r="G167" s="3"/>
      <c r="I167" s="3"/>
      <c r="J167" s="3"/>
      <c r="K167" s="2"/>
      <c r="L167" s="2"/>
      <c r="M167" s="2"/>
      <c r="N167" s="2"/>
      <c r="O167" s="3"/>
      <c r="P167" s="8"/>
      <c r="Q167" s="8"/>
      <c r="R167" s="8"/>
      <c r="S167" s="8"/>
      <c r="T167" s="8"/>
      <c r="U167" s="8"/>
      <c r="V167" s="8"/>
      <c r="W167" s="8"/>
      <c r="X167" s="8"/>
      <c r="Y167" s="8"/>
      <c r="Z167" s="8"/>
      <c r="AA167" s="8"/>
      <c r="AB167" s="8"/>
      <c r="AC167" s="8"/>
      <c r="AD167" s="8"/>
      <c r="AE167" s="8"/>
      <c r="AF167" s="8"/>
      <c r="AG167" s="8"/>
      <c r="AH167" s="8"/>
      <c r="AI167" s="8"/>
      <c r="AJ167" s="8"/>
      <c r="AK167" s="8"/>
      <c r="AM167" s="119">
        <f>IF(AND(ISBLANK(D167),ISBLANK(F167)),1,2)</f>
        <v>1</v>
      </c>
      <c r="AN167" s="119">
        <f>IF(ISBLANK(F167),1,2)</f>
        <v>1</v>
      </c>
      <c r="AO167" s="119">
        <f>IF(ISBLANK(D167),1,2)</f>
        <v>1</v>
      </c>
      <c r="AP167" s="119">
        <f>IF(ISBLANK(F167),0,1)</f>
        <v>0</v>
      </c>
    </row>
    <row r="168" spans="2:42" ht="4.95" customHeight="1" x14ac:dyDescent="0.3">
      <c r="F168" s="3"/>
      <c r="G168" s="3"/>
      <c r="H168" s="3"/>
      <c r="I168" s="3"/>
      <c r="J168" s="3"/>
      <c r="K168" s="2"/>
      <c r="L168" s="2"/>
      <c r="M168" s="2"/>
      <c r="N168" s="2"/>
      <c r="O168" s="3"/>
      <c r="P168" s="8"/>
      <c r="Q168" s="8"/>
      <c r="R168" s="8"/>
      <c r="S168" s="8"/>
      <c r="T168" s="8"/>
      <c r="U168" s="8"/>
      <c r="V168" s="8"/>
      <c r="W168" s="8"/>
      <c r="X168" s="8"/>
      <c r="Y168" s="8"/>
      <c r="Z168" s="8"/>
      <c r="AA168" s="8"/>
      <c r="AB168" s="8"/>
      <c r="AC168" s="8"/>
      <c r="AD168" s="8"/>
      <c r="AE168" s="8"/>
      <c r="AF168" s="8"/>
      <c r="AG168" s="8"/>
      <c r="AH168" s="8"/>
      <c r="AI168" s="8"/>
      <c r="AJ168" s="8"/>
      <c r="AK168" s="8"/>
    </row>
    <row r="169" spans="2:42" ht="15" customHeight="1" x14ac:dyDescent="0.3"/>
    <row r="170" spans="2:42" ht="15" customHeight="1" x14ac:dyDescent="0.3">
      <c r="B170" s="35" t="s">
        <v>85</v>
      </c>
      <c r="C170" s="98"/>
      <c r="D170" s="98"/>
      <c r="E170" s="98"/>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164" t="s">
        <v>394</v>
      </c>
      <c r="AF170" s="223">
        <f>'From 2A.1 - Design'!AE13</f>
        <v>0</v>
      </c>
      <c r="AG170" s="223"/>
      <c r="AH170" s="223"/>
      <c r="AI170" s="223"/>
      <c r="AJ170" s="223"/>
      <c r="AK170" s="223"/>
      <c r="AL170" s="37"/>
      <c r="AM170" s="56" t="s">
        <v>255</v>
      </c>
    </row>
    <row r="171" spans="2:42" ht="15" customHeight="1" x14ac:dyDescent="0.3">
      <c r="B171" s="38"/>
      <c r="C171" s="39"/>
      <c r="D171" s="39"/>
      <c r="E171" s="39"/>
      <c r="F171" s="39"/>
      <c r="G171" s="39"/>
      <c r="H171" s="39"/>
      <c r="I171" s="39"/>
      <c r="J171" s="39"/>
      <c r="K171" s="46" t="s">
        <v>86</v>
      </c>
      <c r="L171" s="46"/>
      <c r="M171" s="47" t="s">
        <v>87</v>
      </c>
      <c r="N171" s="46"/>
      <c r="O171" s="46"/>
      <c r="P171" s="47"/>
      <c r="Q171" s="47"/>
      <c r="R171" s="47"/>
      <c r="S171" s="47"/>
      <c r="T171" s="39"/>
      <c r="U171" s="39"/>
      <c r="V171" s="39"/>
      <c r="W171" s="39"/>
      <c r="X171" s="39"/>
      <c r="Y171" s="39"/>
      <c r="Z171" s="39"/>
      <c r="AA171" s="39"/>
      <c r="AB171" s="39"/>
      <c r="AC171" s="39"/>
      <c r="AD171" s="39"/>
      <c r="AE171" s="39"/>
      <c r="AF171" s="39"/>
      <c r="AG171" s="39"/>
      <c r="AH171" s="39"/>
      <c r="AI171" s="39"/>
      <c r="AJ171" s="39"/>
      <c r="AK171" s="39"/>
      <c r="AL171" s="40"/>
      <c r="AM171" s="119">
        <f>SUM(AM172:AM185)</f>
        <v>11</v>
      </c>
    </row>
    <row r="172" spans="2:42" ht="15" customHeight="1" x14ac:dyDescent="0.3">
      <c r="B172" s="38"/>
      <c r="C172" s="39"/>
      <c r="D172" s="39"/>
      <c r="E172" s="39"/>
      <c r="F172" s="39"/>
      <c r="G172" s="39"/>
      <c r="H172" s="39"/>
      <c r="I172" s="39"/>
      <c r="J172" s="39"/>
      <c r="K172" s="41" t="str">
        <f>IF(Tables!C25=0,"",Tables!C25&amp;":")</f>
        <v>ENG No.:</v>
      </c>
      <c r="L172" s="46"/>
      <c r="M172" s="39" t="str">
        <f>IF(AM14=0,"",IF(ISBLANK(AF14),Tables!G13,""))</f>
        <v>ENG No. has not been provided</v>
      </c>
      <c r="N172" s="46"/>
      <c r="O172" s="46"/>
      <c r="P172" s="47"/>
      <c r="Q172" s="47"/>
      <c r="R172" s="47"/>
      <c r="S172" s="47"/>
      <c r="T172" s="39"/>
      <c r="U172" s="39"/>
      <c r="V172" s="39"/>
      <c r="W172" s="39"/>
      <c r="X172" s="39"/>
      <c r="Y172" s="39"/>
      <c r="Z172" s="39"/>
      <c r="AA172" s="39"/>
      <c r="AB172" s="39"/>
      <c r="AC172" s="39"/>
      <c r="AD172" s="39"/>
      <c r="AE172" s="39"/>
      <c r="AF172" s="39"/>
      <c r="AG172" s="39"/>
      <c r="AH172" s="39"/>
      <c r="AI172" s="39"/>
      <c r="AJ172" s="39"/>
      <c r="AK172" s="39"/>
      <c r="AL172" s="40"/>
      <c r="AM172" s="119">
        <f>IF(M172="",0,1)</f>
        <v>1</v>
      </c>
    </row>
    <row r="173" spans="2:42" ht="15" customHeight="1" x14ac:dyDescent="0.3">
      <c r="B173" s="38"/>
      <c r="C173" s="39"/>
      <c r="D173" s="39"/>
      <c r="E173" s="39"/>
      <c r="F173" s="39"/>
      <c r="G173" s="39"/>
      <c r="H173" s="39"/>
      <c r="I173" s="39"/>
      <c r="J173" s="39"/>
      <c r="K173" s="41" t="s">
        <v>90</v>
      </c>
      <c r="L173" s="41"/>
      <c r="M173" s="39" t="str">
        <f>IF(AM44&lt;6,Tables!G4,"")</f>
        <v>Emergency Spillway Section not completed</v>
      </c>
      <c r="N173" s="41"/>
      <c r="O173" s="41"/>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40"/>
      <c r="AM173" s="119">
        <f>IF(M173="",0,1)</f>
        <v>1</v>
      </c>
    </row>
    <row r="174" spans="2:42" ht="15" customHeight="1" x14ac:dyDescent="0.3">
      <c r="B174" s="38"/>
      <c r="C174" s="39"/>
      <c r="D174" s="39"/>
      <c r="E174" s="39"/>
      <c r="F174" s="39"/>
      <c r="G174" s="39"/>
      <c r="H174" s="39"/>
      <c r="I174" s="39"/>
      <c r="J174" s="39"/>
      <c r="K174" s="41" t="s">
        <v>224</v>
      </c>
      <c r="L174" s="41"/>
      <c r="M174" s="39" t="str">
        <f>IF(OR(AO99&lt;1,AO100&lt;1),Tables!G11,"")</f>
        <v>Freeboard  &lt;  1.0 ft</v>
      </c>
      <c r="N174" s="41"/>
      <c r="O174" s="41"/>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40"/>
      <c r="AM174" s="119">
        <f>IF(M174="",0,1)</f>
        <v>1</v>
      </c>
    </row>
    <row r="175" spans="2:42" ht="15" customHeight="1" x14ac:dyDescent="0.3">
      <c r="B175" s="38"/>
      <c r="C175" s="39"/>
      <c r="D175" s="39"/>
      <c r="E175" s="39"/>
      <c r="F175" s="39"/>
      <c r="G175" s="39"/>
      <c r="H175" s="39"/>
      <c r="I175" s="39"/>
      <c r="J175" s="39"/>
      <c r="K175" s="41" t="s">
        <v>117</v>
      </c>
      <c r="L175" s="41"/>
      <c r="M175" s="39" t="str">
        <f>IF(AO50&lt;2,Tables!G8,"")</f>
        <v>Latitude and/or Longitude not provided</v>
      </c>
      <c r="N175" s="41"/>
      <c r="O175" s="41"/>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40"/>
      <c r="AM175" s="119">
        <f t="shared" ref="AM175:AM183" si="15">IF(M175="",0,1)</f>
        <v>1</v>
      </c>
    </row>
    <row r="176" spans="2:42" ht="15" customHeight="1" x14ac:dyDescent="0.3">
      <c r="B176" s="38"/>
      <c r="C176" s="39"/>
      <c r="D176" s="39"/>
      <c r="E176" s="39"/>
      <c r="F176" s="39"/>
      <c r="G176" s="39"/>
      <c r="H176" s="39"/>
      <c r="I176" s="39"/>
      <c r="J176" s="39"/>
      <c r="K176" s="41" t="s">
        <v>158</v>
      </c>
      <c r="L176" s="41"/>
      <c r="M176" s="39" t="str">
        <f>IF(AM56=2,Tables!G9,IF(AM54=1,"",Tables!G9))</f>
        <v>WQv Required &gt; WQv Provided</v>
      </c>
      <c r="N176" s="41"/>
      <c r="O176" s="41"/>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40"/>
      <c r="AM176" s="119">
        <f t="shared" si="15"/>
        <v>1</v>
      </c>
    </row>
    <row r="177" spans="2:39" ht="15" customHeight="1" x14ac:dyDescent="0.3">
      <c r="B177" s="38"/>
      <c r="C177" s="39"/>
      <c r="D177" s="39"/>
      <c r="E177" s="39"/>
      <c r="F177" s="39"/>
      <c r="G177" s="39"/>
      <c r="H177" s="39"/>
      <c r="I177" s="39"/>
      <c r="J177" s="39"/>
      <c r="K177" s="127" t="s">
        <v>91</v>
      </c>
      <c r="L177" s="41"/>
      <c r="M177" s="39"/>
      <c r="N177" s="41"/>
      <c r="O177" s="41"/>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40"/>
      <c r="AM177" s="119">
        <f t="shared" si="15"/>
        <v>0</v>
      </c>
    </row>
    <row r="178" spans="2:39" ht="15" customHeight="1" x14ac:dyDescent="0.3">
      <c r="B178" s="38"/>
      <c r="C178" s="39"/>
      <c r="D178" s="39"/>
      <c r="E178" s="39"/>
      <c r="F178" s="39"/>
      <c r="G178" s="39"/>
      <c r="H178" s="39"/>
      <c r="I178" s="39"/>
      <c r="J178" s="39"/>
      <c r="K178" s="41" t="s">
        <v>163</v>
      </c>
      <c r="L178" s="41"/>
      <c r="M178" s="39" t="str">
        <f>IF(AM94&gt;0,Tables!G10,"")</f>
        <v>As-Built does not match Design, provide a reson in the Comments section</v>
      </c>
      <c r="N178" s="41"/>
      <c r="O178" s="41"/>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40"/>
      <c r="AM178" s="119">
        <f t="shared" si="15"/>
        <v>1</v>
      </c>
    </row>
    <row r="179" spans="2:39" ht="15" customHeight="1" x14ac:dyDescent="0.3">
      <c r="B179" s="38"/>
      <c r="C179" s="39"/>
      <c r="D179" s="39"/>
      <c r="E179" s="39"/>
      <c r="F179" s="39"/>
      <c r="G179" s="39"/>
      <c r="H179" s="39"/>
      <c r="I179" s="39"/>
      <c r="J179" s="39"/>
      <c r="K179" s="41" t="s">
        <v>164</v>
      </c>
      <c r="L179" s="41"/>
      <c r="M179" s="39" t="str">
        <f>IF(AN94&gt;0,Tables!G10,"")</f>
        <v>As-Built does not match Design, provide a reson in the Comments section</v>
      </c>
      <c r="N179" s="41"/>
      <c r="O179" s="41"/>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40"/>
      <c r="AM179" s="119">
        <f t="shared" si="15"/>
        <v>1</v>
      </c>
    </row>
    <row r="180" spans="2:39" ht="15" customHeight="1" x14ac:dyDescent="0.3">
      <c r="B180" s="38"/>
      <c r="C180" s="39"/>
      <c r="D180" s="39"/>
      <c r="E180" s="39"/>
      <c r="F180" s="39"/>
      <c r="G180" s="39"/>
      <c r="H180" s="39"/>
      <c r="I180" s="39"/>
      <c r="J180" s="39"/>
      <c r="K180" s="41" t="s">
        <v>84</v>
      </c>
      <c r="L180" s="41"/>
      <c r="M180" s="39" t="str">
        <f>IF(AO94&gt;0,Tables!G7,"")</f>
        <v>Max Stage for 2, 5, 10, and/or 25-year storm  &gt; Emergency Spillway Crest Elevation</v>
      </c>
      <c r="N180" s="41"/>
      <c r="O180" s="41"/>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40"/>
      <c r="AM180" s="119">
        <f t="shared" si="15"/>
        <v>1</v>
      </c>
    </row>
    <row r="181" spans="2:39" ht="15" customHeight="1" x14ac:dyDescent="0.3">
      <c r="B181" s="38"/>
      <c r="C181" s="39"/>
      <c r="D181" s="39"/>
      <c r="E181" s="39"/>
      <c r="F181" s="39"/>
      <c r="G181" s="39"/>
      <c r="H181" s="39"/>
      <c r="I181" s="39"/>
      <c r="J181" s="39"/>
      <c r="K181" s="41" t="s">
        <v>191</v>
      </c>
      <c r="L181" s="41"/>
      <c r="M181" s="39" t="str">
        <f>IF(AP94&gt;0,Tables!G6,"")</f>
        <v>Velocity &gt; 5 ft/s</v>
      </c>
      <c r="N181" s="41"/>
      <c r="O181" s="41"/>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40"/>
      <c r="AM181" s="119">
        <f t="shared" si="15"/>
        <v>1</v>
      </c>
    </row>
    <row r="182" spans="2:39" ht="15" customHeight="1" x14ac:dyDescent="0.3">
      <c r="B182" s="38"/>
      <c r="C182" s="39"/>
      <c r="D182" s="39"/>
      <c r="E182" s="39"/>
      <c r="F182" s="39"/>
      <c r="G182" s="39"/>
      <c r="H182" s="39"/>
      <c r="I182" s="39"/>
      <c r="J182" s="39"/>
      <c r="K182" s="41" t="s">
        <v>92</v>
      </c>
      <c r="L182" s="41"/>
      <c r="M182" s="39" t="str">
        <f>IF(OR(AQ94&gt;0,AS94&gt;0),Tables!G5,"")</f>
        <v>Total Post Q &gt; Pre Q</v>
      </c>
      <c r="N182" s="41"/>
      <c r="O182" s="41"/>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40"/>
      <c r="AM182" s="128">
        <f t="shared" si="15"/>
        <v>1</v>
      </c>
    </row>
    <row r="183" spans="2:39" ht="15" customHeight="1" x14ac:dyDescent="0.3">
      <c r="B183" s="38"/>
      <c r="C183" s="39"/>
      <c r="D183" s="39"/>
      <c r="E183" s="39"/>
      <c r="F183" s="39"/>
      <c r="G183" s="39"/>
      <c r="H183" s="39"/>
      <c r="I183" s="39"/>
      <c r="J183" s="39"/>
      <c r="K183" s="41"/>
      <c r="L183" s="41"/>
      <c r="M183" s="39" t="str">
        <f>IF(AQ88="Yes",IF(AND(ISBLANK('From 2A.1 - Design'!$C$150),ISBLANK('From 2A.1 - Design'!$F$150)),Tables!$G$14,IF(AND($AQ$94&gt;0,$AP$88=2),Tables!$G$14,"")),"")</f>
        <v/>
      </c>
      <c r="N183" s="41"/>
      <c r="O183" s="41"/>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40"/>
      <c r="AM183" s="128">
        <f t="shared" si="15"/>
        <v>0</v>
      </c>
    </row>
    <row r="184" spans="2:39" ht="15" customHeight="1" x14ac:dyDescent="0.3">
      <c r="B184" s="38"/>
      <c r="C184" s="39"/>
      <c r="D184" s="39"/>
      <c r="E184" s="39"/>
      <c r="F184" s="39"/>
      <c r="G184" s="39"/>
      <c r="H184" s="39"/>
      <c r="I184" s="39"/>
      <c r="J184" s="39"/>
      <c r="K184" s="41"/>
      <c r="L184" s="41"/>
      <c r="M184" s="39" t="str">
        <f>IF(AQ89="Yes",IF(AND(ISBLANK('From 2A.1 - Design'!$C$152),ISBLANK('From 2A.1 - Design'!$F$152)),Tables!$G$16,IF(AND($AQ$94&gt;0,$AP$89=2),Tables!$G$16,"")),"")</f>
        <v/>
      </c>
      <c r="N184" s="41"/>
      <c r="O184" s="41"/>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40"/>
      <c r="AM184" s="128">
        <f>IF(M184="",0,1)</f>
        <v>0</v>
      </c>
    </row>
    <row r="185" spans="2:39" ht="15" customHeight="1" x14ac:dyDescent="0.3">
      <c r="B185" s="42"/>
      <c r="C185" s="43"/>
      <c r="D185" s="43"/>
      <c r="E185" s="43"/>
      <c r="F185" s="43"/>
      <c r="G185" s="43"/>
      <c r="H185" s="43"/>
      <c r="I185" s="43"/>
      <c r="J185" s="43"/>
      <c r="K185" s="149" t="s">
        <v>402</v>
      </c>
      <c r="L185" s="44"/>
      <c r="M185" s="150" t="str">
        <f>IF(AM151=7,Tables!G17,IF(AP151&gt;0,Tables!G17,0))</f>
        <v>All required photographs are not provided</v>
      </c>
      <c r="N185" s="44"/>
      <c r="O185" s="44"/>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5"/>
      <c r="AM185" s="128">
        <f>IF(M185="",0,1)</f>
        <v>1</v>
      </c>
    </row>
    <row r="186" spans="2:39" ht="15" customHeight="1" x14ac:dyDescent="0.3"/>
    <row r="187" spans="2:39" ht="15" customHeight="1" x14ac:dyDescent="0.3"/>
    <row r="188" spans="2:39" ht="15" customHeight="1" x14ac:dyDescent="0.3"/>
    <row r="189" spans="2:39" ht="15" customHeight="1" x14ac:dyDescent="0.3"/>
    <row r="190" spans="2:39" ht="15" customHeight="1" x14ac:dyDescent="0.3"/>
    <row r="191" spans="2:39" ht="15" customHeight="1" x14ac:dyDescent="0.3"/>
    <row r="192" spans="2:39" ht="15" customHeight="1" x14ac:dyDescent="0.3"/>
    <row r="193" spans="2:18" ht="15" customHeight="1" x14ac:dyDescent="0.3"/>
    <row r="194" spans="2:18" ht="15" customHeight="1" x14ac:dyDescent="0.3"/>
    <row r="195" spans="2:18" ht="15" customHeight="1" x14ac:dyDescent="0.3"/>
    <row r="196" spans="2:18" ht="15" customHeight="1" x14ac:dyDescent="0.3"/>
    <row r="197" spans="2:18" ht="15" customHeight="1" x14ac:dyDescent="0.3">
      <c r="B197" s="167">
        <f>Tables!$C$13</f>
        <v>45566</v>
      </c>
      <c r="C197" s="167"/>
      <c r="D197" s="167"/>
      <c r="E197" s="167"/>
      <c r="F197" s="167"/>
      <c r="G197" s="96"/>
      <c r="H197" s="96"/>
      <c r="I197" s="96"/>
      <c r="R197" s="4" t="s">
        <v>276</v>
      </c>
    </row>
    <row r="198" spans="2:18" ht="15" customHeight="1" x14ac:dyDescent="0.3"/>
    <row r="199" spans="2:18" ht="15" customHeight="1" x14ac:dyDescent="0.3"/>
    <row r="200" spans="2:18" ht="15" customHeight="1" x14ac:dyDescent="0.3"/>
    <row r="201" spans="2:18" ht="15" customHeight="1" x14ac:dyDescent="0.3"/>
    <row r="202" spans="2:18" ht="15" customHeight="1" x14ac:dyDescent="0.3"/>
    <row r="203" spans="2:18" ht="15" customHeight="1" x14ac:dyDescent="0.3"/>
    <row r="204" spans="2:18" ht="15" hidden="1" customHeight="1" x14ac:dyDescent="0.3"/>
    <row r="205" spans="2:18" ht="15" hidden="1" customHeight="1" x14ac:dyDescent="0.3"/>
    <row r="206" spans="2:18" ht="15" hidden="1" customHeight="1" x14ac:dyDescent="0.3"/>
    <row r="207" spans="2:18" ht="15" hidden="1" customHeight="1" x14ac:dyDescent="0.3"/>
    <row r="208" spans="2:18" ht="15" hidden="1" customHeight="1" x14ac:dyDescent="0.3"/>
    <row r="209" ht="15" hidden="1" customHeight="1" x14ac:dyDescent="0.3"/>
    <row r="210" ht="15" hidden="1" customHeight="1" x14ac:dyDescent="0.3"/>
    <row r="211" ht="15" hidden="1" customHeight="1" x14ac:dyDescent="0.3"/>
    <row r="212" ht="15" hidden="1" customHeight="1" x14ac:dyDescent="0.3"/>
    <row r="213" ht="15" hidden="1" customHeight="1" x14ac:dyDescent="0.3"/>
    <row r="214" ht="15" hidden="1" customHeight="1" x14ac:dyDescent="0.3"/>
    <row r="215" ht="15" hidden="1" customHeight="1" x14ac:dyDescent="0.3"/>
    <row r="216" ht="15" hidden="1" customHeight="1" x14ac:dyDescent="0.3"/>
    <row r="217" ht="15" hidden="1" customHeight="1" x14ac:dyDescent="0.3"/>
    <row r="218" ht="15" hidden="1" customHeight="1" x14ac:dyDescent="0.3"/>
    <row r="219" ht="15" hidden="1" customHeight="1" x14ac:dyDescent="0.3"/>
    <row r="220" ht="15" hidden="1" customHeight="1" x14ac:dyDescent="0.3"/>
    <row r="221" ht="15" hidden="1" customHeight="1" x14ac:dyDescent="0.3"/>
    <row r="222" ht="15" hidden="1" customHeight="1" x14ac:dyDescent="0.3"/>
    <row r="223" ht="15" hidden="1" customHeight="1" x14ac:dyDescent="0.3"/>
    <row r="224" ht="15" hidden="1" customHeight="1" x14ac:dyDescent="0.3"/>
    <row r="225" ht="15" hidden="1" customHeight="1" x14ac:dyDescent="0.3"/>
    <row r="226" ht="15" hidden="1" customHeight="1" x14ac:dyDescent="0.3"/>
    <row r="227" ht="15" hidden="1" customHeight="1" x14ac:dyDescent="0.3"/>
    <row r="228" ht="15" hidden="1" customHeight="1" x14ac:dyDescent="0.3"/>
    <row r="229" ht="15" hidden="1" customHeight="1" x14ac:dyDescent="0.3"/>
    <row r="230" ht="15" hidden="1" customHeight="1" x14ac:dyDescent="0.3"/>
    <row r="231" ht="15" hidden="1" customHeight="1" x14ac:dyDescent="0.3"/>
    <row r="232" ht="15" hidden="1" customHeight="1" x14ac:dyDescent="0.3"/>
    <row r="233" ht="15" hidden="1" customHeight="1" x14ac:dyDescent="0.3"/>
    <row r="234" ht="15" hidden="1" customHeight="1" x14ac:dyDescent="0.3"/>
    <row r="235" ht="15" hidden="1" customHeight="1" x14ac:dyDescent="0.3"/>
    <row r="236" ht="15" hidden="1" customHeight="1" x14ac:dyDescent="0.3"/>
    <row r="237" ht="15" hidden="1" customHeight="1" x14ac:dyDescent="0.3"/>
  </sheetData>
  <sheetProtection algorithmName="SHA-512" hashValue="nqqyfKG7rONKRXbAVFeaTCRthlIiPxwTB20XRQYyHoO88swJ4CvWt0VQDrq0lvm3noj3WpvNvLEUeX6KeMWdgQ==" saltValue="98lIU2LlBKI9SGdN58U5hw==" spinCount="100000" sheet="1" objects="1" scenarios="1" selectLockedCells="1"/>
  <mergeCells count="405">
    <mergeCell ref="W151:Z151"/>
    <mergeCell ref="AB151:AH151"/>
    <mergeCell ref="N83:Q83"/>
    <mergeCell ref="N71:Q71"/>
    <mergeCell ref="N72:Q72"/>
    <mergeCell ref="N73:Q73"/>
    <mergeCell ref="N74:Q74"/>
    <mergeCell ref="N75:Q75"/>
    <mergeCell ref="N76:Q76"/>
    <mergeCell ref="N77:Q77"/>
    <mergeCell ref="N78:Q78"/>
    <mergeCell ref="N79:Q79"/>
    <mergeCell ref="N82:Q82"/>
    <mergeCell ref="AG149:AK149"/>
    <mergeCell ref="D148:Z148"/>
    <mergeCell ref="AG148:AK148"/>
    <mergeCell ref="B147:F147"/>
    <mergeCell ref="F126:V126"/>
    <mergeCell ref="F127:V127"/>
    <mergeCell ref="F128:V128"/>
    <mergeCell ref="Z126:AC126"/>
    <mergeCell ref="AH126:AK126"/>
    <mergeCell ref="AE127:AK127"/>
    <mergeCell ref="B131:AK134"/>
    <mergeCell ref="C82:E82"/>
    <mergeCell ref="C83:E83"/>
    <mergeCell ref="H64:K64"/>
    <mergeCell ref="H65:K65"/>
    <mergeCell ref="H66:K66"/>
    <mergeCell ref="H67:K67"/>
    <mergeCell ref="H68:K68"/>
    <mergeCell ref="H69:K69"/>
    <mergeCell ref="H70:K70"/>
    <mergeCell ref="H71:K71"/>
    <mergeCell ref="H72:K72"/>
    <mergeCell ref="H73:K73"/>
    <mergeCell ref="H74:K74"/>
    <mergeCell ref="H75:K75"/>
    <mergeCell ref="H76:K76"/>
    <mergeCell ref="H77:K77"/>
    <mergeCell ref="H78:K78"/>
    <mergeCell ref="H79:K79"/>
    <mergeCell ref="H80:K80"/>
    <mergeCell ref="H81:K81"/>
    <mergeCell ref="H82:K82"/>
    <mergeCell ref="H83:K83"/>
    <mergeCell ref="C76:E76"/>
    <mergeCell ref="C77:E77"/>
    <mergeCell ref="C78:E78"/>
    <mergeCell ref="C79:E79"/>
    <mergeCell ref="C80:E80"/>
    <mergeCell ref="C81:E81"/>
    <mergeCell ref="N80:Q80"/>
    <mergeCell ref="N81:Q81"/>
    <mergeCell ref="AB81:AE81"/>
    <mergeCell ref="W76:Y76"/>
    <mergeCell ref="W77:Y77"/>
    <mergeCell ref="W78:Y78"/>
    <mergeCell ref="W79:Y79"/>
    <mergeCell ref="AB76:AE76"/>
    <mergeCell ref="AB77:AE77"/>
    <mergeCell ref="AB78:AE78"/>
    <mergeCell ref="AB79:AE79"/>
    <mergeCell ref="AB80:AE80"/>
    <mergeCell ref="C63:F63"/>
    <mergeCell ref="H63:L63"/>
    <mergeCell ref="W64:Y64"/>
    <mergeCell ref="C71:E71"/>
    <mergeCell ref="C72:E72"/>
    <mergeCell ref="C73:E73"/>
    <mergeCell ref="C74:E74"/>
    <mergeCell ref="C75:E75"/>
    <mergeCell ref="C64:E64"/>
    <mergeCell ref="C65:E65"/>
    <mergeCell ref="C66:E66"/>
    <mergeCell ref="C67:E67"/>
    <mergeCell ref="C68:E68"/>
    <mergeCell ref="C69:E69"/>
    <mergeCell ref="N64:Q64"/>
    <mergeCell ref="N65:Q65"/>
    <mergeCell ref="N66:Q66"/>
    <mergeCell ref="N67:Q67"/>
    <mergeCell ref="N68:Q68"/>
    <mergeCell ref="N69:Q69"/>
    <mergeCell ref="C70:E70"/>
    <mergeCell ref="N70:Q70"/>
    <mergeCell ref="E47:G47"/>
    <mergeCell ref="O47:Q47"/>
    <mergeCell ref="Y46:AA46"/>
    <mergeCell ref="Y47:AA47"/>
    <mergeCell ref="AH46:AJ46"/>
    <mergeCell ref="AH47:AJ47"/>
    <mergeCell ref="D58:Z58"/>
    <mergeCell ref="AG58:AK58"/>
    <mergeCell ref="AC54:AE54"/>
    <mergeCell ref="AI54:AK54"/>
    <mergeCell ref="K54:M54"/>
    <mergeCell ref="Q54:S54"/>
    <mergeCell ref="E46:G46"/>
    <mergeCell ref="O46:Q46"/>
    <mergeCell ref="E38:G38"/>
    <mergeCell ref="AI35:AK35"/>
    <mergeCell ref="AI36:AK36"/>
    <mergeCell ref="AI37:AK37"/>
    <mergeCell ref="AI38:AK38"/>
    <mergeCell ref="AI39:AK39"/>
    <mergeCell ref="AI40:AK40"/>
    <mergeCell ref="AI41:AK41"/>
    <mergeCell ref="I39:K39"/>
    <mergeCell ref="I40:K40"/>
    <mergeCell ref="I38:K38"/>
    <mergeCell ref="AH45:AK45"/>
    <mergeCell ref="W40:Y40"/>
    <mergeCell ref="W41:Y41"/>
    <mergeCell ref="AA40:AC40"/>
    <mergeCell ref="AA41:AC41"/>
    <mergeCell ref="AE40:AG40"/>
    <mergeCell ref="AE41:AG41"/>
    <mergeCell ref="W35:Y35"/>
    <mergeCell ref="W36:Y36"/>
    <mergeCell ref="AE128:AI128"/>
    <mergeCell ref="AE121:AI121"/>
    <mergeCell ref="AH22:AK22"/>
    <mergeCell ref="AH24:AJ24"/>
    <mergeCell ref="AH25:AJ25"/>
    <mergeCell ref="F119:V119"/>
    <mergeCell ref="F121:V121"/>
    <mergeCell ref="Z119:AC119"/>
    <mergeCell ref="AH119:AK119"/>
    <mergeCell ref="F118:V118"/>
    <mergeCell ref="AH96:AK96"/>
    <mergeCell ref="AH97:AK97"/>
    <mergeCell ref="AH98:AK98"/>
    <mergeCell ref="AH99:AK99"/>
    <mergeCell ref="AH100:AK100"/>
    <mergeCell ref="D104:Z104"/>
    <mergeCell ref="AG104:AK104"/>
    <mergeCell ref="E39:G39"/>
    <mergeCell ref="E40:G40"/>
    <mergeCell ref="E41:G41"/>
    <mergeCell ref="I30:K30"/>
    <mergeCell ref="I31:K31"/>
    <mergeCell ref="I35:K35"/>
    <mergeCell ref="E45:H45"/>
    <mergeCell ref="E23:G23"/>
    <mergeCell ref="E24:G24"/>
    <mergeCell ref="Q30:S30"/>
    <mergeCell ref="Q31:S31"/>
    <mergeCell ref="Q35:S35"/>
    <mergeCell ref="Q36:S36"/>
    <mergeCell ref="Q37:S37"/>
    <mergeCell ref="E25:G25"/>
    <mergeCell ref="L24:N24"/>
    <mergeCell ref="L25:N25"/>
    <mergeCell ref="E35:G35"/>
    <mergeCell ref="E36:G36"/>
    <mergeCell ref="E37:G37"/>
    <mergeCell ref="M35:O35"/>
    <mergeCell ref="M36:O36"/>
    <mergeCell ref="I37:K37"/>
    <mergeCell ref="M37:O37"/>
    <mergeCell ref="AG105:AK105"/>
    <mergeCell ref="S100:V100"/>
    <mergeCell ref="X96:AA96"/>
    <mergeCell ref="X97:AA97"/>
    <mergeCell ref="X98:AA98"/>
    <mergeCell ref="X99:AA99"/>
    <mergeCell ref="X100:AA100"/>
    <mergeCell ref="AC96:AF96"/>
    <mergeCell ref="AC97:AF97"/>
    <mergeCell ref="AC98:AF98"/>
    <mergeCell ref="AC99:AF99"/>
    <mergeCell ref="AC100:AF100"/>
    <mergeCell ref="C97:D97"/>
    <mergeCell ref="C98:D98"/>
    <mergeCell ref="C99:D99"/>
    <mergeCell ref="I96:L96"/>
    <mergeCell ref="I97:L97"/>
    <mergeCell ref="C87:D87"/>
    <mergeCell ref="C88:D88"/>
    <mergeCell ref="C89:D89"/>
    <mergeCell ref="C90:D90"/>
    <mergeCell ref="C91:D91"/>
    <mergeCell ref="C92:D92"/>
    <mergeCell ref="C96:D96"/>
    <mergeCell ref="C95:D95"/>
    <mergeCell ref="I87:L87"/>
    <mergeCell ref="I88:L88"/>
    <mergeCell ref="I89:L89"/>
    <mergeCell ref="I90:L90"/>
    <mergeCell ref="I95:L95"/>
    <mergeCell ref="I94:L94"/>
    <mergeCell ref="I91:L91"/>
    <mergeCell ref="I92:L92"/>
    <mergeCell ref="AH87:AK87"/>
    <mergeCell ref="AH88:AK88"/>
    <mergeCell ref="AH89:AK89"/>
    <mergeCell ref="AH90:AK90"/>
    <mergeCell ref="AH91:AK91"/>
    <mergeCell ref="AH92:AK92"/>
    <mergeCell ref="N95:Q95"/>
    <mergeCell ref="N96:Q96"/>
    <mergeCell ref="S95:V95"/>
    <mergeCell ref="S96:V96"/>
    <mergeCell ref="X87:AA87"/>
    <mergeCell ref="X88:AA88"/>
    <mergeCell ref="X89:AA89"/>
    <mergeCell ref="X90:AA90"/>
    <mergeCell ref="X91:AA91"/>
    <mergeCell ref="N88:Q88"/>
    <mergeCell ref="N89:Q89"/>
    <mergeCell ref="N94:Q94"/>
    <mergeCell ref="S94:V94"/>
    <mergeCell ref="X94:AA94"/>
    <mergeCell ref="AC94:AF94"/>
    <mergeCell ref="AH94:AK94"/>
    <mergeCell ref="AC95:AF95"/>
    <mergeCell ref="AC91:AF91"/>
    <mergeCell ref="AC92:AF92"/>
    <mergeCell ref="X92:AA92"/>
    <mergeCell ref="AH95:AK95"/>
    <mergeCell ref="X95:AA95"/>
    <mergeCell ref="S92:V92"/>
    <mergeCell ref="I98:L98"/>
    <mergeCell ref="I99:L99"/>
    <mergeCell ref="I100:L100"/>
    <mergeCell ref="N97:Q97"/>
    <mergeCell ref="N98:Q98"/>
    <mergeCell ref="N99:Q99"/>
    <mergeCell ref="N100:Q100"/>
    <mergeCell ref="S97:V97"/>
    <mergeCell ref="S98:V98"/>
    <mergeCell ref="S99:V99"/>
    <mergeCell ref="N92:Q92"/>
    <mergeCell ref="B107:AK114"/>
    <mergeCell ref="B49:AL49"/>
    <mergeCell ref="B57:F57"/>
    <mergeCell ref="R57:U57"/>
    <mergeCell ref="J50:M50"/>
    <mergeCell ref="J51:M51"/>
    <mergeCell ref="AD50:AG50"/>
    <mergeCell ref="AD51:AG51"/>
    <mergeCell ref="B53:AL53"/>
    <mergeCell ref="B85:AL85"/>
    <mergeCell ref="AC86:AF86"/>
    <mergeCell ref="AH86:AK86"/>
    <mergeCell ref="W65:Y65"/>
    <mergeCell ref="W66:Y66"/>
    <mergeCell ref="W67:Y67"/>
    <mergeCell ref="W68:Y68"/>
    <mergeCell ref="W69:Y69"/>
    <mergeCell ref="W70:Y70"/>
    <mergeCell ref="AB83:AE83"/>
    <mergeCell ref="W71:Y71"/>
    <mergeCell ref="W72:Y72"/>
    <mergeCell ref="W80:Y80"/>
    <mergeCell ref="W81:Y81"/>
    <mergeCell ref="W82:Y82"/>
    <mergeCell ref="U1:AL4"/>
    <mergeCell ref="AU6:BH7"/>
    <mergeCell ref="BI1:CA4"/>
    <mergeCell ref="B43:AL43"/>
    <mergeCell ref="B61:AL61"/>
    <mergeCell ref="AI30:AK30"/>
    <mergeCell ref="AI31:AK31"/>
    <mergeCell ref="AG59:AK59"/>
    <mergeCell ref="W38:Y38"/>
    <mergeCell ref="W39:Y39"/>
    <mergeCell ref="AA30:AC30"/>
    <mergeCell ref="AA31:AC31"/>
    <mergeCell ref="AA35:AC35"/>
    <mergeCell ref="AA36:AC36"/>
    <mergeCell ref="AA37:AC37"/>
    <mergeCell ref="AA38:AC38"/>
    <mergeCell ref="AA39:AC39"/>
    <mergeCell ref="V30:Y30"/>
    <mergeCell ref="V31:Y31"/>
    <mergeCell ref="AE38:AG38"/>
    <mergeCell ref="E7:Z7"/>
    <mergeCell ref="B20:AL20"/>
    <mergeCell ref="E30:G30"/>
    <mergeCell ref="E31:G31"/>
    <mergeCell ref="AH82:AK82"/>
    <mergeCell ref="AH83:AK83"/>
    <mergeCell ref="AH73:AK73"/>
    <mergeCell ref="AH74:AK74"/>
    <mergeCell ref="AH75:AK75"/>
    <mergeCell ref="AH76:AK76"/>
    <mergeCell ref="AH77:AK77"/>
    <mergeCell ref="AH78:AK78"/>
    <mergeCell ref="AH79:AK79"/>
    <mergeCell ref="AH80:AK80"/>
    <mergeCell ref="AH81:AK81"/>
    <mergeCell ref="AF7:AK7"/>
    <mergeCell ref="AB72:AE72"/>
    <mergeCell ref="AB73:AE73"/>
    <mergeCell ref="AB74:AE74"/>
    <mergeCell ref="W73:Y73"/>
    <mergeCell ref="W74:Y74"/>
    <mergeCell ref="AH72:AK72"/>
    <mergeCell ref="E15:Z15"/>
    <mergeCell ref="E16:Z16"/>
    <mergeCell ref="AH64:AK64"/>
    <mergeCell ref="AH65:AK65"/>
    <mergeCell ref="AH66:AK66"/>
    <mergeCell ref="AH67:AK67"/>
    <mergeCell ref="AH68:AK68"/>
    <mergeCell ref="AH69:AK69"/>
    <mergeCell ref="AH70:AK70"/>
    <mergeCell ref="AH71:AK71"/>
    <mergeCell ref="AB64:AE64"/>
    <mergeCell ref="AB65:AE65"/>
    <mergeCell ref="AB66:AE66"/>
    <mergeCell ref="AB67:AE67"/>
    <mergeCell ref="AB68:AE68"/>
    <mergeCell ref="E22:H22"/>
    <mergeCell ref="L22:O22"/>
    <mergeCell ref="Y22:AB22"/>
    <mergeCell ref="Y23:AA23"/>
    <mergeCell ref="O45:R45"/>
    <mergeCell ref="W37:Y37"/>
    <mergeCell ref="AE35:AG35"/>
    <mergeCell ref="AE36:AG36"/>
    <mergeCell ref="AE37:AG37"/>
    <mergeCell ref="I86:L86"/>
    <mergeCell ref="N86:Q86"/>
    <mergeCell ref="S86:V86"/>
    <mergeCell ref="AB82:AE82"/>
    <mergeCell ref="W75:Y75"/>
    <mergeCell ref="W83:Y83"/>
    <mergeCell ref="AB75:AE75"/>
    <mergeCell ref="AB69:AE69"/>
    <mergeCell ref="AB70:AE70"/>
    <mergeCell ref="AB71:AE71"/>
    <mergeCell ref="Y45:AB45"/>
    <mergeCell ref="I41:K41"/>
    <mergeCell ref="Q39:S39"/>
    <mergeCell ref="Q40:S40"/>
    <mergeCell ref="Q41:S41"/>
    <mergeCell ref="S90:V90"/>
    <mergeCell ref="S91:V91"/>
    <mergeCell ref="AC87:AF87"/>
    <mergeCell ref="AC88:AF88"/>
    <mergeCell ref="AC89:AF89"/>
    <mergeCell ref="AC90:AF90"/>
    <mergeCell ref="S87:V87"/>
    <mergeCell ref="S88:V88"/>
    <mergeCell ref="Y24:AA24"/>
    <mergeCell ref="Y25:AA25"/>
    <mergeCell ref="AE39:AG39"/>
    <mergeCell ref="X86:AA86"/>
    <mergeCell ref="AE30:AG30"/>
    <mergeCell ref="AE31:AG31"/>
    <mergeCell ref="Q38:S38"/>
    <mergeCell ref="N90:Q90"/>
    <mergeCell ref="N91:Q91"/>
    <mergeCell ref="N87:Q87"/>
    <mergeCell ref="E141:I141"/>
    <mergeCell ref="AC143:AG143"/>
    <mergeCell ref="B197:F197"/>
    <mergeCell ref="AF14:AK14"/>
    <mergeCell ref="AF15:AK15"/>
    <mergeCell ref="AF16:AK16"/>
    <mergeCell ref="B103:F103"/>
    <mergeCell ref="R103:U103"/>
    <mergeCell ref="M38:O38"/>
    <mergeCell ref="M39:O39"/>
    <mergeCell ref="M40:O40"/>
    <mergeCell ref="M41:O41"/>
    <mergeCell ref="M30:O30"/>
    <mergeCell ref="M31:O31"/>
    <mergeCell ref="B35:D35"/>
    <mergeCell ref="B36:D36"/>
    <mergeCell ref="B37:D37"/>
    <mergeCell ref="B38:D38"/>
    <mergeCell ref="B39:D39"/>
    <mergeCell ref="B40:D40"/>
    <mergeCell ref="B41:D41"/>
    <mergeCell ref="I36:K36"/>
    <mergeCell ref="C100:D100"/>
    <mergeCell ref="S89:V89"/>
    <mergeCell ref="F117:V117"/>
    <mergeCell ref="AF170:AK170"/>
    <mergeCell ref="X165:Y165"/>
    <mergeCell ref="AB165:AH165"/>
    <mergeCell ref="X155:Y155"/>
    <mergeCell ref="AB155:AH155"/>
    <mergeCell ref="X157:Y157"/>
    <mergeCell ref="AB157:AH157"/>
    <mergeCell ref="X159:Y159"/>
    <mergeCell ref="AB159:AH159"/>
    <mergeCell ref="X161:Y161"/>
    <mergeCell ref="AB161:AH161"/>
    <mergeCell ref="X163:Y163"/>
    <mergeCell ref="AB163:AH163"/>
    <mergeCell ref="F120:V120"/>
    <mergeCell ref="F124:V124"/>
    <mergeCell ref="F125:V125"/>
    <mergeCell ref="E136:Y136"/>
    <mergeCell ref="E137:Y137"/>
    <mergeCell ref="E138:Y138"/>
    <mergeCell ref="E139:K139"/>
    <mergeCell ref="O139:R139"/>
    <mergeCell ref="W139:Y139"/>
    <mergeCell ref="E140:Y140"/>
  </mergeCells>
  <conditionalFormatting sqref="B107:AK114">
    <cfRule type="cellIs" priority="78" stopIfTrue="1" operator="greaterThan">
      <formula>0</formula>
    </cfRule>
    <cfRule type="expression" dxfId="95" priority="79">
      <formula>$AM$171&gt;0</formula>
    </cfRule>
  </conditionalFormatting>
  <conditionalFormatting sqref="D58">
    <cfRule type="cellIs" dxfId="94" priority="87" operator="equal">
      <formula>0</formula>
    </cfRule>
  </conditionalFormatting>
  <conditionalFormatting sqref="D104">
    <cfRule type="cellIs" dxfId="93" priority="86" operator="equal">
      <formula>0</formula>
    </cfRule>
  </conditionalFormatting>
  <conditionalFormatting sqref="D148">
    <cfRule type="cellIs" dxfId="92" priority="83" operator="equal">
      <formula>0</formula>
    </cfRule>
  </conditionalFormatting>
  <conditionalFormatting sqref="D153 F153 F117:F121">
    <cfRule type="expression" dxfId="91" priority="74">
      <formula>ISBLANK(D117)</formula>
    </cfRule>
  </conditionalFormatting>
  <conditionalFormatting sqref="D155 F155">
    <cfRule type="expression" dxfId="90" priority="49">
      <formula>ISBLANK(D155)</formula>
    </cfRule>
  </conditionalFormatting>
  <conditionalFormatting sqref="D157 F157">
    <cfRule type="expression" dxfId="89" priority="46">
      <formula>ISBLANK(D157)</formula>
    </cfRule>
  </conditionalFormatting>
  <conditionalFormatting sqref="D159 F159">
    <cfRule type="expression" dxfId="88" priority="43">
      <formula>ISBLANK(D159)</formula>
    </cfRule>
  </conditionalFormatting>
  <conditionalFormatting sqref="D161 F161">
    <cfRule type="expression" dxfId="87" priority="40">
      <formula>ISBLANK(D161)</formula>
    </cfRule>
  </conditionalFormatting>
  <conditionalFormatting sqref="D163 F163">
    <cfRule type="expression" dxfId="86" priority="25">
      <formula>ISBLANK(D163)</formula>
    </cfRule>
  </conditionalFormatting>
  <conditionalFormatting sqref="D165 F165">
    <cfRule type="expression" dxfId="85" priority="16">
      <formula>ISBLANK(D165)</formula>
    </cfRule>
  </conditionalFormatting>
  <conditionalFormatting sqref="E15:E16 AF16 AG58:AG59 AG104:AG105 AG148:AG149">
    <cfRule type="cellIs" dxfId="84" priority="94" operator="equal">
      <formula>0</formula>
    </cfRule>
  </conditionalFormatting>
  <conditionalFormatting sqref="E136:E137">
    <cfRule type="expression" dxfId="83" priority="22">
      <formula>ISBLANK(E136)</formula>
    </cfRule>
  </conditionalFormatting>
  <conditionalFormatting sqref="E138:Y138 E139:E141">
    <cfRule type="expression" dxfId="82" priority="20">
      <formula>ISBLANK(E138)</formula>
    </cfRule>
  </conditionalFormatting>
  <conditionalFormatting sqref="F124:F128 Z126 AH126 AE127:AE128">
    <cfRule type="expression" priority="103" stopIfTrue="1">
      <formula>$AN$123=2</formula>
    </cfRule>
  </conditionalFormatting>
  <conditionalFormatting sqref="F124:F128">
    <cfRule type="expression" dxfId="81" priority="223">
      <formula>ISBLANK(F124)</formula>
    </cfRule>
  </conditionalFormatting>
  <conditionalFormatting sqref="F153 D153">
    <cfRule type="expression" priority="73" stopIfTrue="1">
      <formula>$AM$153=2</formula>
    </cfRule>
  </conditionalFormatting>
  <conditionalFormatting sqref="F153">
    <cfRule type="expression" dxfId="80" priority="66">
      <formula>$AN$153=2</formula>
    </cfRule>
  </conditionalFormatting>
  <conditionalFormatting sqref="F155 D155">
    <cfRule type="expression" priority="48" stopIfTrue="1">
      <formula>$AM$155=2</formula>
    </cfRule>
  </conditionalFormatting>
  <conditionalFormatting sqref="F155">
    <cfRule type="expression" dxfId="79" priority="47">
      <formula>$AN$155=2</formula>
    </cfRule>
  </conditionalFormatting>
  <conditionalFormatting sqref="F157 D157">
    <cfRule type="expression" priority="45" stopIfTrue="1">
      <formula>$AM$157=2</formula>
    </cfRule>
  </conditionalFormatting>
  <conditionalFormatting sqref="F157">
    <cfRule type="expression" dxfId="78" priority="44">
      <formula>$AN$157=2</formula>
    </cfRule>
  </conditionalFormatting>
  <conditionalFormatting sqref="F159 D159">
    <cfRule type="expression" priority="42" stopIfTrue="1">
      <formula>$AM$159=2</formula>
    </cfRule>
  </conditionalFormatting>
  <conditionalFormatting sqref="F159">
    <cfRule type="expression" dxfId="77" priority="41">
      <formula>$AN$159=2</formula>
    </cfRule>
  </conditionalFormatting>
  <conditionalFormatting sqref="F161 D161">
    <cfRule type="expression" priority="39" stopIfTrue="1">
      <formula>$AM$161=2</formula>
    </cfRule>
  </conditionalFormatting>
  <conditionalFormatting sqref="F161">
    <cfRule type="expression" dxfId="76" priority="38">
      <formula>$AN$161=2</formula>
    </cfRule>
  </conditionalFormatting>
  <conditionalFormatting sqref="F163 D163">
    <cfRule type="expression" priority="24" stopIfTrue="1">
      <formula>$AM$163=2</formula>
    </cfRule>
  </conditionalFormatting>
  <conditionalFormatting sqref="F163">
    <cfRule type="expression" dxfId="75" priority="23">
      <formula>$AN$163=2</formula>
    </cfRule>
  </conditionalFormatting>
  <conditionalFormatting sqref="F165 D165">
    <cfRule type="expression" priority="15" stopIfTrue="1">
      <formula>$AM$165=2</formula>
    </cfRule>
  </conditionalFormatting>
  <conditionalFormatting sqref="F165">
    <cfRule type="expression" dxfId="74" priority="14">
      <formula>$AN$165=2</formula>
    </cfRule>
  </conditionalFormatting>
  <conditionalFormatting sqref="G18 N18 X18 AE18">
    <cfRule type="expression" dxfId="73" priority="100">
      <formula>ISBLANK(G18)</formula>
    </cfRule>
  </conditionalFormatting>
  <conditionalFormatting sqref="I95:I100">
    <cfRule type="expression" dxfId="72" priority="294" stopIfTrue="1">
      <formula>ISBLANK(I95)</formula>
    </cfRule>
    <cfRule type="cellIs" dxfId="71" priority="295" operator="notEqual">
      <formula>$I87</formula>
    </cfRule>
  </conditionalFormatting>
  <conditionalFormatting sqref="N95:N100">
    <cfRule type="expression" dxfId="70" priority="292" stopIfTrue="1">
      <formula>ISBLANK(N95)</formula>
    </cfRule>
    <cfRule type="cellIs" dxfId="69" priority="293" operator="notEqual">
      <formula>$N87</formula>
    </cfRule>
  </conditionalFormatting>
  <conditionalFormatting sqref="O139 W139">
    <cfRule type="expression" dxfId="68" priority="19">
      <formula>ISBLANK(O139)</formula>
    </cfRule>
  </conditionalFormatting>
  <conditionalFormatting sqref="S87:S92 X87:X92 AC87:AC92">
    <cfRule type="expression" dxfId="67" priority="195">
      <formula>ISBLANK(S87)</formula>
    </cfRule>
  </conditionalFormatting>
  <conditionalFormatting sqref="S95:S100 X95:X100 AC95:AC100">
    <cfRule type="expression" dxfId="66" priority="5" stopIfTrue="1">
      <formula>ISBLANK(S95)</formula>
    </cfRule>
  </conditionalFormatting>
  <conditionalFormatting sqref="W64">
    <cfRule type="expression" dxfId="65" priority="291">
      <formula>ISBLANK($W$64)</formula>
    </cfRule>
    <cfRule type="cellIs" priority="290" operator="greaterThan">
      <formula>0</formula>
    </cfRule>
  </conditionalFormatting>
  <conditionalFormatting sqref="X95:X98">
    <cfRule type="cellIs" dxfId="64" priority="285" operator="greaterThan">
      <formula>$Y$47</formula>
    </cfRule>
  </conditionalFormatting>
  <conditionalFormatting sqref="X155 AB155">
    <cfRule type="cellIs" priority="36" stopIfTrue="1" operator="greaterThan">
      <formula>0</formula>
    </cfRule>
    <cfRule type="expression" dxfId="63" priority="37">
      <formula>$AO$155=2</formula>
    </cfRule>
  </conditionalFormatting>
  <conditionalFormatting sqref="X157 AB157">
    <cfRule type="cellIs" priority="34" stopIfTrue="1" operator="greaterThan">
      <formula>0</formula>
    </cfRule>
    <cfRule type="expression" dxfId="62" priority="35">
      <formula>$AO$157=2</formula>
    </cfRule>
  </conditionalFormatting>
  <conditionalFormatting sqref="X159 AB159">
    <cfRule type="cellIs" priority="32" stopIfTrue="1" operator="greaterThan">
      <formula>0</formula>
    </cfRule>
    <cfRule type="expression" dxfId="61" priority="33">
      <formula>$AO$159=2</formula>
    </cfRule>
  </conditionalFormatting>
  <conditionalFormatting sqref="X161 AB161">
    <cfRule type="cellIs" priority="30" stopIfTrue="1" operator="greaterThan">
      <formula>0</formula>
    </cfRule>
    <cfRule type="expression" dxfId="60" priority="31">
      <formula>$AO$161=2</formula>
    </cfRule>
  </conditionalFormatting>
  <conditionalFormatting sqref="X163 AB163">
    <cfRule type="cellIs" priority="12" stopIfTrue="1" operator="greaterThan">
      <formula>0</formula>
    </cfRule>
    <cfRule type="expression" dxfId="59" priority="13">
      <formula>$AO$163=2</formula>
    </cfRule>
  </conditionalFormatting>
  <conditionalFormatting sqref="X165 AB165">
    <cfRule type="cellIs" priority="10" stopIfTrue="1" operator="greaterThan">
      <formula>0</formula>
    </cfRule>
    <cfRule type="expression" dxfId="58" priority="11">
      <formula>$AO$165=2</formula>
    </cfRule>
  </conditionalFormatting>
  <conditionalFormatting sqref="X99:AA99">
    <cfRule type="expression" dxfId="57" priority="99">
      <formula>$AO$99&lt;1</formula>
    </cfRule>
  </conditionalFormatting>
  <conditionalFormatting sqref="X100:AA100">
    <cfRule type="expression" dxfId="56" priority="6">
      <formula>$AO$100&lt;1</formula>
    </cfRule>
  </conditionalFormatting>
  <conditionalFormatting sqref="Y22">
    <cfRule type="expression" dxfId="55" priority="170">
      <formula>ISBLANK(Y22)</formula>
    </cfRule>
  </conditionalFormatting>
  <conditionalFormatting sqref="Y23">
    <cfRule type="expression" priority="91" stopIfTrue="1">
      <formula>$AM$24=2</formula>
    </cfRule>
    <cfRule type="cellIs" priority="92" stopIfTrue="1" operator="greaterThan">
      <formula>0</formula>
    </cfRule>
    <cfRule type="expression" dxfId="54" priority="93">
      <formula>$AM$23=1</formula>
    </cfRule>
  </conditionalFormatting>
  <conditionalFormatting sqref="Y24 AH24 AK24">
    <cfRule type="expression" dxfId="53" priority="90">
      <formula>$AM$24</formula>
    </cfRule>
    <cfRule type="cellIs" priority="89" stopIfTrue="1" operator="greaterThan">
      <formula>0</formula>
    </cfRule>
    <cfRule type="expression" priority="88" stopIfTrue="1">
      <formula>$AM$23=2</formula>
    </cfRule>
  </conditionalFormatting>
  <conditionalFormatting sqref="Y25 AH25 AK25 V30:V31">
    <cfRule type="expression" dxfId="52" priority="168">
      <formula>ISBLANK(V25)</formula>
    </cfRule>
  </conditionalFormatting>
  <conditionalFormatting sqref="Y27 AC27">
    <cfRule type="expression" dxfId="51" priority="307">
      <formula>$AM$27=1</formula>
    </cfRule>
  </conditionalFormatting>
  <conditionalFormatting sqref="Y33 AC33">
    <cfRule type="expression" dxfId="50" priority="308">
      <formula>$AM$33=1</formula>
    </cfRule>
  </conditionalFormatting>
  <conditionalFormatting sqref="Y45:Y47 AH45:AH47">
    <cfRule type="expression" dxfId="49" priority="147">
      <formula>ISBLANK(Y45)</formula>
    </cfRule>
  </conditionalFormatting>
  <conditionalFormatting sqref="Y123">
    <cfRule type="expression" dxfId="48" priority="106">
      <formula>ISBLANK(Y123)</formula>
    </cfRule>
    <cfRule type="expression" priority="85" stopIfTrue="1">
      <formula>$AM$123=2</formula>
    </cfRule>
  </conditionalFormatting>
  <conditionalFormatting sqref="Z126 AH126 AE127:AE128 N87:N92 Z119 AH119 AE121">
    <cfRule type="expression" dxfId="47" priority="196">
      <formula>ISBLANK(N87)</formula>
    </cfRule>
  </conditionalFormatting>
  <conditionalFormatting sqref="AA30 AI30">
    <cfRule type="expression" dxfId="46" priority="311">
      <formula>$AM$30=2</formula>
    </cfRule>
  </conditionalFormatting>
  <conditionalFormatting sqref="AA30:AA31 AI30:AI31">
    <cfRule type="cellIs" priority="310" stopIfTrue="1" operator="greaterThan">
      <formula>0</formula>
    </cfRule>
  </conditionalFormatting>
  <conditionalFormatting sqref="AA31 AI31">
    <cfRule type="expression" dxfId="45" priority="315">
      <formula>$AM$31=2</formula>
    </cfRule>
  </conditionalFormatting>
  <conditionalFormatting sqref="AA35 AH35:AI35">
    <cfRule type="expression" dxfId="44" priority="319">
      <formula>$AM$35=2</formula>
    </cfRule>
  </conditionalFormatting>
  <conditionalFormatting sqref="AA36 AH36:AI36">
    <cfRule type="expression" dxfId="43" priority="323">
      <formula>$AM$36=2</formula>
    </cfRule>
  </conditionalFormatting>
  <conditionalFormatting sqref="AB46:AB47">
    <cfRule type="expression" dxfId="42" priority="175">
      <formula>ISBLANK(AB46)</formula>
    </cfRule>
  </conditionalFormatting>
  <conditionalFormatting sqref="AB64 AH64">
    <cfRule type="expression" dxfId="41" priority="347">
      <formula>$AO$64=2</formula>
    </cfRule>
  </conditionalFormatting>
  <conditionalFormatting sqref="AB64">
    <cfRule type="expression" priority="96" stopIfTrue="1">
      <formula>$AM$64=1</formula>
    </cfRule>
  </conditionalFormatting>
  <conditionalFormatting sqref="AB65 AH65">
    <cfRule type="expression" dxfId="40" priority="351">
      <formula>$AO$65=2</formula>
    </cfRule>
  </conditionalFormatting>
  <conditionalFormatting sqref="AB66 AH66">
    <cfRule type="expression" dxfId="39" priority="355">
      <formula>$AO$66=2</formula>
    </cfRule>
  </conditionalFormatting>
  <conditionalFormatting sqref="AB67 AH67">
    <cfRule type="expression" dxfId="38" priority="359">
      <formula>$AO$67=2</formula>
    </cfRule>
  </conditionalFormatting>
  <conditionalFormatting sqref="AB68 AH68">
    <cfRule type="expression" dxfId="37" priority="363">
      <formula>$AO$68=2</formula>
    </cfRule>
  </conditionalFormatting>
  <conditionalFormatting sqref="AB69 AH69">
    <cfRule type="expression" dxfId="36" priority="367">
      <formula>$AO$69=2</formula>
    </cfRule>
  </conditionalFormatting>
  <conditionalFormatting sqref="AB70 AH70">
    <cfRule type="expression" dxfId="35" priority="371">
      <formula>$AO$70=2</formula>
    </cfRule>
  </conditionalFormatting>
  <conditionalFormatting sqref="AB71 AH71">
    <cfRule type="expression" dxfId="34" priority="375">
      <formula>$AO$71=2</formula>
    </cfRule>
  </conditionalFormatting>
  <conditionalFormatting sqref="AB72 AH72">
    <cfRule type="expression" dxfId="33" priority="379">
      <formula>$AO$72=2</formula>
    </cfRule>
  </conditionalFormatting>
  <conditionalFormatting sqref="AB73 AH73">
    <cfRule type="expression" dxfId="32" priority="383">
      <formula>$AO$73=2</formula>
    </cfRule>
  </conditionalFormatting>
  <conditionalFormatting sqref="AB74 AH74">
    <cfRule type="expression" dxfId="31" priority="387">
      <formula>$AO$74=2</formula>
    </cfRule>
  </conditionalFormatting>
  <conditionalFormatting sqref="AB75 AH75">
    <cfRule type="expression" dxfId="30" priority="391">
      <formula>$AO$75=2</formula>
    </cfRule>
  </conditionalFormatting>
  <conditionalFormatting sqref="AB76 AH76">
    <cfRule type="expression" dxfId="29" priority="395">
      <formula>$AO$76=2</formula>
    </cfRule>
  </conditionalFormatting>
  <conditionalFormatting sqref="AB77 AH77">
    <cfRule type="expression" dxfId="28" priority="399">
      <formula>$AO$77=2</formula>
    </cfRule>
  </conditionalFormatting>
  <conditionalFormatting sqref="AB78 AH78">
    <cfRule type="expression" dxfId="27" priority="403">
      <formula>$AO$78=2</formula>
    </cfRule>
  </conditionalFormatting>
  <conditionalFormatting sqref="AB79 AH79">
    <cfRule type="expression" dxfId="26" priority="407">
      <formula>$AO$79=2</formula>
    </cfRule>
  </conditionalFormatting>
  <conditionalFormatting sqref="AB80 AH80">
    <cfRule type="expression" dxfId="25" priority="411">
      <formula>$AO$80=2</formula>
    </cfRule>
  </conditionalFormatting>
  <conditionalFormatting sqref="AB81 AH81">
    <cfRule type="expression" dxfId="24" priority="415">
      <formula>$AO$81=2</formula>
    </cfRule>
  </conditionalFormatting>
  <conditionalFormatting sqref="AB82 AH82">
    <cfRule type="expression" dxfId="23" priority="419">
      <formula>$AO$82=2</formula>
    </cfRule>
  </conditionalFormatting>
  <conditionalFormatting sqref="AB83 AH83">
    <cfRule type="expression" dxfId="22" priority="423">
      <formula>$AO$83=2</formula>
    </cfRule>
  </conditionalFormatting>
  <conditionalFormatting sqref="AC54">
    <cfRule type="expression" dxfId="21" priority="432">
      <formula>ISBLANK(AC54)</formula>
    </cfRule>
    <cfRule type="cellIs" dxfId="20" priority="433" operator="lessThan">
      <formula>$K54</formula>
    </cfRule>
  </conditionalFormatting>
  <conditionalFormatting sqref="AC87:AC92 AC95:AC100">
    <cfRule type="cellIs" dxfId="19" priority="1216" operator="greaterThan">
      <formula>$AP$85</formula>
    </cfRule>
  </conditionalFormatting>
  <conditionalFormatting sqref="AC143">
    <cfRule type="expression" dxfId="18" priority="21">
      <formula>ISBLANK(AC143)</formula>
    </cfRule>
  </conditionalFormatting>
  <conditionalFormatting sqref="AD50:AD51">
    <cfRule type="expression" dxfId="17" priority="190">
      <formula>ISBLANK(AD50)</formula>
    </cfRule>
  </conditionalFormatting>
  <conditionalFormatting sqref="AF14:AF15">
    <cfRule type="expression" dxfId="16" priority="76">
      <formula>ISBLANK(AF14)</formula>
    </cfRule>
  </conditionalFormatting>
  <conditionalFormatting sqref="AF14:AK14">
    <cfRule type="expression" priority="75" stopIfTrue="1">
      <formula>$AM$14=0</formula>
    </cfRule>
  </conditionalFormatting>
  <conditionalFormatting sqref="AH22">
    <cfRule type="expression" dxfId="15" priority="169">
      <formula>ISBLANK(AH22)</formula>
    </cfRule>
  </conditionalFormatting>
  <conditionalFormatting sqref="AH64">
    <cfRule type="expression" priority="146" stopIfTrue="1">
      <formula>$AN$64=1</formula>
    </cfRule>
  </conditionalFormatting>
  <conditionalFormatting sqref="AH64:AH83 AB64:AB83">
    <cfRule type="cellIs" priority="346" stopIfTrue="1" operator="greaterThan">
      <formula>0</formula>
    </cfRule>
  </conditionalFormatting>
  <conditionalFormatting sqref="AH95:AH100">
    <cfRule type="cellIs" dxfId="14" priority="9" stopIfTrue="1" operator="greaterThan">
      <formula>$I95</formula>
    </cfRule>
    <cfRule type="expression" dxfId="13" priority="1">
      <formula>ISBLANK(AH95)</formula>
    </cfRule>
    <cfRule type="expression" dxfId="12" priority="185">
      <formula>AQ95=1</formula>
    </cfRule>
  </conditionalFormatting>
  <conditionalFormatting sqref="AH35:AI36 AA35:AA41">
    <cfRule type="cellIs" priority="318" stopIfTrue="1" operator="greaterThan">
      <formula>0</formula>
    </cfRule>
  </conditionalFormatting>
  <conditionalFormatting sqref="AH38:AI38 AH39:AH41 AA38">
    <cfRule type="expression" dxfId="11" priority="331">
      <formula>$AM$38=2</formula>
    </cfRule>
  </conditionalFormatting>
  <conditionalFormatting sqref="AH38:AI41">
    <cfRule type="cellIs" priority="330" stopIfTrue="1" operator="greaterThan">
      <formula>0</formula>
    </cfRule>
  </conditionalFormatting>
  <conditionalFormatting sqref="AH87:AK92">
    <cfRule type="expression" dxfId="10" priority="4">
      <formula>$AO87=1</formula>
    </cfRule>
    <cfRule type="expression" dxfId="9" priority="3">
      <formula>$AN87=1</formula>
    </cfRule>
    <cfRule type="expression" dxfId="8" priority="2">
      <formula>$AM87=1</formula>
    </cfRule>
  </conditionalFormatting>
  <conditionalFormatting sqref="AH95:AK100">
    <cfRule type="expression" dxfId="7" priority="296">
      <formula>$AR95=1</formula>
    </cfRule>
  </conditionalFormatting>
  <conditionalFormatting sqref="AI37 AA37">
    <cfRule type="expression" dxfId="6" priority="327">
      <formula>$AM$37=2</formula>
    </cfRule>
  </conditionalFormatting>
  <conditionalFormatting sqref="AI37">
    <cfRule type="cellIs" priority="326" stopIfTrue="1" operator="greaterThan">
      <formula>0</formula>
    </cfRule>
  </conditionalFormatting>
  <conditionalFormatting sqref="AI39 AA39">
    <cfRule type="expression" dxfId="5" priority="337">
      <formula>$AM$39=2</formula>
    </cfRule>
  </conditionalFormatting>
  <conditionalFormatting sqref="AI40 AA40">
    <cfRule type="expression" dxfId="4" priority="341">
      <formula>$AM$40=2</formula>
    </cfRule>
  </conditionalFormatting>
  <conditionalFormatting sqref="AI41 AA41">
    <cfRule type="expression" dxfId="3" priority="345">
      <formula>$AM$41=2</formula>
    </cfRule>
  </conditionalFormatting>
  <conditionalFormatting sqref="AI54:AK54">
    <cfRule type="expression" dxfId="2" priority="77">
      <formula>ISBLANK(AI54)</formula>
    </cfRule>
  </conditionalFormatting>
  <conditionalFormatting sqref="AI95:AK100">
    <cfRule type="expression" dxfId="1" priority="1213">
      <formula>AS95=1</formula>
    </cfRule>
  </conditionalFormatting>
  <conditionalFormatting sqref="AK46:AK47">
    <cfRule type="expression" dxfId="0" priority="174">
      <formula>ISBLANK(AK46)</formula>
    </cfRule>
  </conditionalFormatting>
  <dataValidations disablePrompts="1" count="2">
    <dataValidation type="list" allowBlank="1" showInputMessage="1" showErrorMessage="1" sqref="AH45:AK45 AH22:AK22 V30:Y31 W35:Y41" xr:uid="{06087DCA-AA37-4BFE-8386-162360B92D36}">
      <formula1>Shape</formula1>
    </dataValidation>
    <dataValidation type="list" allowBlank="1" showInputMessage="1" showErrorMessage="1" sqref="Y22:AB22 Y45:AB45" xr:uid="{6D057CEB-A90F-4CE0-B4A3-EBB6EA20D27D}">
      <formula1>Material</formula1>
    </dataValidation>
  </dataValidations>
  <pageMargins left="0.2" right="0.2" top="0.5" bottom="0.25" header="0.3" footer="0.3"/>
  <pageSetup scale="99" orientation="portrait" r:id="rId1"/>
  <rowBreaks count="3" manualBreakCount="3">
    <brk id="57" max="16383" man="1"/>
    <brk id="103" max="16383" man="1"/>
    <brk id="147" max="16383" man="1"/>
  </rowBreaks>
  <colBreaks count="1" manualBreakCount="1">
    <brk id="45" max="1048575" man="1"/>
  </col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45811C8A-ECEE-4454-B380-9D2FF58D55E6}">
          <x14:formula1>
            <xm:f>Tables!$C$2:$C$7</xm:f>
          </x14:formula1>
          <xm:sqref>AA32:AD32 AA42:AD42 F42:I42</xm:sqref>
        </x14:dataValidation>
        <x14:dataValidation type="list" allowBlank="1" showInputMessage="1" showErrorMessage="1" xr:uid="{BE41E341-9C5E-44E7-A54D-C7661114123C}">
          <x14:formula1>
            <xm:f>Tables!$A$2:$A$10</xm:f>
          </x14:formula1>
          <xm:sqref>E22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From 2A.1 - Design</vt:lpstr>
      <vt:lpstr>Form 2A.2 - Design Attachment</vt:lpstr>
      <vt:lpstr>Form 3A - As-built</vt:lpstr>
      <vt:lpstr>Material</vt:lpstr>
      <vt:lpstr>'Form 2A.2 - Design Attachment'!Print_Area</vt:lpstr>
      <vt:lpstr>'Form 3A - As-built'!Print_Area</vt:lpstr>
      <vt:lpstr>'From 2A.1 - Design'!Print_Area</vt:lpstr>
      <vt:lpstr>'Form 2A.2 - Design Attachment'!Print_Titles</vt:lpstr>
      <vt:lpstr>'Form 3A - As-built'!Print_Titles</vt:lpstr>
      <vt:lpstr>'From 2A.1 - Design'!Print_Titles</vt:lpstr>
      <vt:lpstr>Shape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Dewayne Smith</dc:creator>
  <cp:lastModifiedBy>Dewayne Smith</cp:lastModifiedBy>
  <cp:lastPrinted>2024-10-07T01:09:01Z</cp:lastPrinted>
  <dcterms:created xsi:type="dcterms:W3CDTF">2021-11-21T16:55:43Z</dcterms:created>
  <dcterms:modified xsi:type="dcterms:W3CDTF">2024-10-07T15:35:08Z</dcterms:modified>
</cp:coreProperties>
</file>